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defaultThemeVersion="166925"/>
  <mc:AlternateContent xmlns:mc="http://schemas.openxmlformats.org/markup-compatibility/2006">
    <mc:Choice Requires="x15">
      <x15ac:absPath xmlns:x15ac="http://schemas.microsoft.com/office/spreadsheetml/2010/11/ac" url="\\swd-lcms-dc01\users\reske\Salary Schedule\2025 SWD Salary Guidelines\"/>
    </mc:Choice>
  </mc:AlternateContent>
  <xr:revisionPtr revIDLastSave="0" documentId="13_ncr:1_{967DC55D-B787-43EA-8B62-FD8F9577DCE1}" xr6:coauthVersionLast="47" xr6:coauthVersionMax="47" xr10:uidLastSave="{00000000-0000-0000-0000-000000000000}"/>
  <bookViews>
    <workbookView xWindow="-120" yWindow="-120" windowWidth="29040" windowHeight="15840" xr2:uid="{43DCA7BC-69A0-455B-8CDE-5DAFDCDDF5D6}"/>
  </bookViews>
  <sheets>
    <sheet name="Instructions &amp; Preschool Rates" sheetId="16" r:id="rId1"/>
    <sheet name="Base Salary Table" sheetId="5" r:id="rId2"/>
    <sheet name="Salary Worksheet" sheetId="10" r:id="rId3"/>
    <sheet name="Salary Worksheet (Print)" sheetId="19" state="hidden" r:id="rId4"/>
    <sheet name="Options" sheetId="11" state="hidden" r:id="rId5"/>
    <sheet name="Experience Modifiers" sheetId="17" state="hidden" r:id="rId6"/>
  </sheets>
  <externalReferences>
    <externalReference r:id="rId7"/>
  </externalReferences>
  <definedNames>
    <definedName name="AreaSalary">Options!$A$12:$B$43</definedName>
    <definedName name="AWW">Options!$A$45:$D$53</definedName>
    <definedName name="EducationClass">Options!$A$1:$B$9</definedName>
    <definedName name="EducationLevel">Options!$A$1:$A$9</definedName>
    <definedName name="EducExpGrid">'Experience Modifiers'!$B$3:$I$48</definedName>
    <definedName name="Enrollment">Options!$A$55:$C$59</definedName>
    <definedName name="_xlnm.Print_Area" localSheetId="1">'Base Salary Table'!$A:$Q</definedName>
    <definedName name="_xlnm.Print_Area" localSheetId="0">'Instructions &amp; Preschool Rates'!$A$1:$I$40</definedName>
    <definedName name="_xlnm.Print_Area" localSheetId="2">'Salary Worksheet'!$A$1:$I$56</definedName>
    <definedName name="_xlnm.Print_Area" localSheetId="3">'Salary Worksheet (Print)'!$A$1:$I$46</definedName>
    <definedName name="SECA">Options!$A$62:$B$64</definedName>
    <definedName name="YesorNo">[1]Options!$A$37:$A$39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 i="5" l="1"/>
  <c r="O11" i="5"/>
  <c r="O12" i="5"/>
  <c r="O13" i="5"/>
  <c r="O14" i="5"/>
  <c r="O15" i="5"/>
  <c r="O16" i="5"/>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39" i="11"/>
  <c r="T40" i="11"/>
  <c r="T41" i="11"/>
  <c r="T42" i="11"/>
  <c r="T43" i="11"/>
  <c r="E6" i="5"/>
  <c r="G6" i="5" l="1"/>
  <c r="I16" i="19" l="1"/>
  <c r="I16" i="10"/>
  <c r="H58" i="11"/>
  <c r="C13" i="11"/>
  <c r="C30" i="11"/>
  <c r="B13" i="11"/>
  <c r="P48" i="11"/>
  <c r="B30" i="11"/>
  <c r="B43" i="11" l="1"/>
  <c r="B42" i="11"/>
  <c r="B41" i="11"/>
  <c r="B40" i="11"/>
  <c r="B39" i="11"/>
  <c r="B38" i="11"/>
  <c r="B37" i="11"/>
  <c r="B36" i="11"/>
  <c r="B35" i="11"/>
  <c r="B34" i="11"/>
  <c r="B33" i="11"/>
  <c r="B32" i="11"/>
  <c r="B31" i="11"/>
  <c r="B29" i="11"/>
  <c r="B28" i="11"/>
  <c r="B27" i="11"/>
  <c r="B26" i="11"/>
  <c r="B25" i="11"/>
  <c r="B24" i="11"/>
  <c r="B23" i="11"/>
  <c r="B22" i="11"/>
  <c r="B21" i="11"/>
  <c r="B20" i="11"/>
  <c r="B19" i="11"/>
  <c r="B18" i="11"/>
  <c r="B17" i="11"/>
  <c r="B16" i="11"/>
  <c r="B15" i="11"/>
  <c r="B14" i="11"/>
  <c r="T44" i="11"/>
  <c r="R44" i="11"/>
  <c r="R48" i="11" s="1"/>
  <c r="J27" i="16"/>
  <c r="J28" i="16" s="1"/>
  <c r="J29" i="16" s="1"/>
  <c r="J30" i="16" s="1"/>
  <c r="J31" i="16" s="1"/>
  <c r="J32" i="16" s="1"/>
  <c r="J33" i="16" s="1"/>
  <c r="J34" i="16" s="1"/>
  <c r="J35" i="16" s="1"/>
  <c r="J36" i="16" s="1"/>
  <c r="J37" i="16" s="1"/>
  <c r="J38" i="16" s="1"/>
  <c r="J39" i="16" s="1"/>
  <c r="L44" i="11"/>
  <c r="L48" i="11" s="1"/>
  <c r="P44" i="11"/>
  <c r="N44" i="11"/>
  <c r="N48" i="11" s="1"/>
  <c r="C20" i="11" l="1"/>
  <c r="C33" i="11"/>
  <c r="C29" i="11"/>
  <c r="H44" i="11"/>
  <c r="H48" i="11" s="1"/>
  <c r="C6" i="5"/>
  <c r="J44" i="11" l="1"/>
  <c r="J48" i="11" s="1"/>
  <c r="I44" i="10" l="1"/>
  <c r="I4" i="17" l="1"/>
  <c r="I5" i="17" s="1"/>
  <c r="I6" i="17" s="1"/>
  <c r="I7" i="17" s="1"/>
  <c r="I8" i="17" s="1"/>
  <c r="I9" i="17" s="1"/>
  <c r="I10" i="17" s="1"/>
  <c r="I11" i="17" s="1"/>
  <c r="I12" i="17" s="1"/>
  <c r="I13" i="17" s="1"/>
  <c r="I14" i="17" s="1"/>
  <c r="I15" i="17" s="1"/>
  <c r="I16" i="17" s="1"/>
  <c r="I17" i="17" s="1"/>
  <c r="I18" i="17" s="1"/>
  <c r="I19" i="17" s="1"/>
  <c r="I20" i="17" s="1"/>
  <c r="I21" i="17" s="1"/>
  <c r="I22" i="17" s="1"/>
  <c r="I23" i="17" s="1"/>
  <c r="I24" i="17" s="1"/>
  <c r="I25" i="17" s="1"/>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H4" i="17"/>
  <c r="H5" i="17" s="1"/>
  <c r="H6" i="17" s="1"/>
  <c r="H7" i="17" s="1"/>
  <c r="H8" i="17" s="1"/>
  <c r="H9" i="17" s="1"/>
  <c r="H10" i="17" s="1"/>
  <c r="H11" i="17" s="1"/>
  <c r="H12" i="17" s="1"/>
  <c r="H13" i="17" s="1"/>
  <c r="H14" i="17" s="1"/>
  <c r="H15" i="17" s="1"/>
  <c r="H16" i="17" s="1"/>
  <c r="H17" i="17" s="1"/>
  <c r="H18" i="17" s="1"/>
  <c r="H19" i="17" s="1"/>
  <c r="H20" i="17" s="1"/>
  <c r="H21" i="17" s="1"/>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G4" i="17"/>
  <c r="G5" i="17" s="1"/>
  <c r="G6" i="17" s="1"/>
  <c r="G7" i="17" s="1"/>
  <c r="G8" i="17" s="1"/>
  <c r="G9" i="17" s="1"/>
  <c r="G10" i="17" s="1"/>
  <c r="G11" i="17" s="1"/>
  <c r="G12" i="17" s="1"/>
  <c r="G13" i="17" s="1"/>
  <c r="G14" i="17" s="1"/>
  <c r="G15" i="17" s="1"/>
  <c r="G16" i="17" s="1"/>
  <c r="G17" i="17" s="1"/>
  <c r="G18" i="17" s="1"/>
  <c r="G19" i="17" s="1"/>
  <c r="G20" i="17" s="1"/>
  <c r="G21" i="17" s="1"/>
  <c r="G22" i="17" s="1"/>
  <c r="G23" i="17" s="1"/>
  <c r="G24" i="17" s="1"/>
  <c r="G25" i="17" s="1"/>
  <c r="G26" i="17" s="1"/>
  <c r="G27" i="17" s="1"/>
  <c r="G28" i="17" s="1"/>
  <c r="G29" i="17" s="1"/>
  <c r="G30" i="17" s="1"/>
  <c r="G31" i="17" s="1"/>
  <c r="G32" i="17" s="1"/>
  <c r="G33" i="17" s="1"/>
  <c r="G34" i="17" s="1"/>
  <c r="G35" i="17" s="1"/>
  <c r="G36" i="17" s="1"/>
  <c r="G37" i="17" s="1"/>
  <c r="G38" i="17" s="1"/>
  <c r="G39" i="17" s="1"/>
  <c r="G40" i="17" s="1"/>
  <c r="G41" i="17" s="1"/>
  <c r="G42" i="17" s="1"/>
  <c r="G43" i="17" s="1"/>
  <c r="G44" i="17" s="1"/>
  <c r="G45" i="17" s="1"/>
  <c r="G46" i="17" s="1"/>
  <c r="G47" i="17" s="1"/>
  <c r="G48" i="17" s="1"/>
  <c r="F4" i="17"/>
  <c r="F5" i="17" s="1"/>
  <c r="F6" i="17" s="1"/>
  <c r="F7" i="17" s="1"/>
  <c r="F8" i="17" s="1"/>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E4" i="17"/>
  <c r="E5" i="17" s="1"/>
  <c r="E6" i="17" s="1"/>
  <c r="E7" i="17" s="1"/>
  <c r="E8" i="17" s="1"/>
  <c r="E9" i="17" s="1"/>
  <c r="E10" i="17" s="1"/>
  <c r="E11" i="17" s="1"/>
  <c r="E12" i="17" s="1"/>
  <c r="E13" i="17" s="1"/>
  <c r="E14" i="17" s="1"/>
  <c r="E15" i="17" s="1"/>
  <c r="E16" i="17" s="1"/>
  <c r="E17" i="17" s="1"/>
  <c r="E18" i="17" s="1"/>
  <c r="E19" i="17" s="1"/>
  <c r="E20" i="17" s="1"/>
  <c r="E21" i="17" s="1"/>
  <c r="E22" i="17" s="1"/>
  <c r="E23" i="17" s="1"/>
  <c r="E24" i="17" s="1"/>
  <c r="E25" i="17" s="1"/>
  <c r="E26" i="17" s="1"/>
  <c r="E27" i="17" s="1"/>
  <c r="E28" i="17" s="1"/>
  <c r="E29" i="17" s="1"/>
  <c r="E30" i="17" s="1"/>
  <c r="E31" i="17" s="1"/>
  <c r="E32" i="17" s="1"/>
  <c r="E33" i="17" s="1"/>
  <c r="E34" i="17" s="1"/>
  <c r="E35" i="17" s="1"/>
  <c r="E36" i="17" s="1"/>
  <c r="E37" i="17" s="1"/>
  <c r="E38" i="17" s="1"/>
  <c r="E39" i="17" s="1"/>
  <c r="E40" i="17" s="1"/>
  <c r="E41" i="17" s="1"/>
  <c r="E42" i="17" s="1"/>
  <c r="E43" i="17" s="1"/>
  <c r="E44" i="17" s="1"/>
  <c r="E45" i="17" s="1"/>
  <c r="E46" i="17" s="1"/>
  <c r="E47" i="17" s="1"/>
  <c r="E48" i="17" s="1"/>
  <c r="D4" i="17"/>
  <c r="D5" i="17" s="1"/>
  <c r="D6" i="17" s="1"/>
  <c r="D7" i="17" s="1"/>
  <c r="D8" i="17" s="1"/>
  <c r="D9" i="17" s="1"/>
  <c r="D10" i="17" s="1"/>
  <c r="D11" i="17" s="1"/>
  <c r="D12" i="17" s="1"/>
  <c r="D13" i="17" s="1"/>
  <c r="D14" i="17" s="1"/>
  <c r="D15" i="17" s="1"/>
  <c r="D16" i="17" s="1"/>
  <c r="D17" i="17" s="1"/>
  <c r="D18" i="17" s="1"/>
  <c r="D19" i="17" s="1"/>
  <c r="D20" i="17" s="1"/>
  <c r="D21" i="17" s="1"/>
  <c r="D22" i="17" s="1"/>
  <c r="D23" i="17" s="1"/>
  <c r="D24" i="17" s="1"/>
  <c r="D25" i="17" s="1"/>
  <c r="D26" i="17" s="1"/>
  <c r="D27" i="17" s="1"/>
  <c r="D28" i="17" s="1"/>
  <c r="D29" i="17" s="1"/>
  <c r="D30" i="17" s="1"/>
  <c r="D31" i="17" s="1"/>
  <c r="D32" i="17" s="1"/>
  <c r="D33" i="17" s="1"/>
  <c r="D34" i="17" s="1"/>
  <c r="D35" i="17" s="1"/>
  <c r="D36" i="17" s="1"/>
  <c r="D37" i="17" s="1"/>
  <c r="D38" i="17" s="1"/>
  <c r="D39" i="17" s="1"/>
  <c r="D40" i="17" s="1"/>
  <c r="D41" i="17" s="1"/>
  <c r="D42" i="17" s="1"/>
  <c r="D43" i="17" s="1"/>
  <c r="D44" i="17" s="1"/>
  <c r="D45" i="17" s="1"/>
  <c r="D46" i="17" s="1"/>
  <c r="D47" i="17" s="1"/>
  <c r="D48" i="17" s="1"/>
  <c r="C4" i="17"/>
  <c r="C5" i="17" s="1"/>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B4" i="17"/>
  <c r="B5" i="17" s="1"/>
  <c r="B6" i="17" s="1"/>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F13" i="10" l="1"/>
  <c r="H29" i="10" l="1"/>
  <c r="C54" i="10"/>
  <c r="H30" i="10" l="1"/>
  <c r="C43" i="11" l="1"/>
  <c r="C42" i="11"/>
  <c r="C41" i="11"/>
  <c r="C40" i="11"/>
  <c r="C39" i="11"/>
  <c r="C38" i="11"/>
  <c r="C37" i="11"/>
  <c r="C36" i="11"/>
  <c r="C35" i="11"/>
  <c r="C34" i="11"/>
  <c r="C32" i="11"/>
  <c r="C31" i="11"/>
  <c r="C28" i="11"/>
  <c r="C27" i="11"/>
  <c r="C26" i="11"/>
  <c r="C25" i="11"/>
  <c r="C24" i="11"/>
  <c r="C23" i="11"/>
  <c r="C22" i="11"/>
  <c r="C21" i="11"/>
  <c r="C19" i="11"/>
  <c r="C18" i="11"/>
  <c r="C17" i="11"/>
  <c r="C16" i="11"/>
  <c r="C15" i="11"/>
  <c r="C14" i="11"/>
  <c r="B51" i="10" l="1"/>
  <c r="H45" i="10" l="1"/>
  <c r="H7" i="5" l="1"/>
  <c r="H8" i="5" s="1"/>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H42" i="5" s="1"/>
  <c r="H43" i="5" s="1"/>
  <c r="H44" i="5" s="1"/>
  <c r="H45" i="5" s="1"/>
  <c r="H46" i="5" s="1"/>
  <c r="H47" i="5" s="1"/>
  <c r="H48" i="5" s="1"/>
  <c r="H49" i="5" s="1"/>
  <c r="H50" i="5" s="1"/>
  <c r="H51" i="5" s="1"/>
  <c r="D7" i="5"/>
  <c r="D8" i="5" s="1"/>
  <c r="C36" i="5"/>
  <c r="A69" i="1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H32" i="10"/>
  <c r="Q46" i="5" l="1"/>
  <c r="M41" i="5"/>
  <c r="C8" i="5"/>
  <c r="M20" i="5"/>
  <c r="G21" i="5"/>
  <c r="C13" i="5"/>
  <c r="Q13" i="5"/>
  <c r="O31" i="5"/>
  <c r="K15" i="5"/>
  <c r="C31" i="5"/>
  <c r="M43" i="5"/>
  <c r="Q14" i="5"/>
  <c r="O32" i="5"/>
  <c r="K20" i="5"/>
  <c r="C32" i="5"/>
  <c r="Q29" i="5"/>
  <c r="O47" i="5"/>
  <c r="K38" i="5"/>
  <c r="I51" i="5"/>
  <c r="Q30" i="5"/>
  <c r="O48" i="5"/>
  <c r="K39" i="5"/>
  <c r="K51" i="5"/>
  <c r="Q45" i="5"/>
  <c r="M19" i="5"/>
  <c r="G19" i="5"/>
  <c r="M51" i="5"/>
  <c r="Q15" i="5"/>
  <c r="Q47" i="5"/>
  <c r="O33" i="5"/>
  <c r="M25" i="5"/>
  <c r="M44" i="5"/>
  <c r="K22" i="5"/>
  <c r="K44" i="5"/>
  <c r="G22" i="5"/>
  <c r="C15" i="5"/>
  <c r="Q16" i="5"/>
  <c r="Q32" i="5"/>
  <c r="Q48" i="5"/>
  <c r="O18" i="5"/>
  <c r="O34" i="5"/>
  <c r="O50" i="5"/>
  <c r="M27" i="5"/>
  <c r="M49" i="5"/>
  <c r="K23" i="5"/>
  <c r="K46" i="5"/>
  <c r="G27" i="5"/>
  <c r="C16" i="5"/>
  <c r="Q37" i="5"/>
  <c r="O23" i="5"/>
  <c r="M9" i="5"/>
  <c r="M28" i="5"/>
  <c r="K28" i="5"/>
  <c r="G29" i="5"/>
  <c r="Q38" i="5"/>
  <c r="M11" i="5"/>
  <c r="G30" i="5"/>
  <c r="Q7" i="5"/>
  <c r="Q23" i="5"/>
  <c r="Q39" i="5"/>
  <c r="O9" i="5"/>
  <c r="O25" i="5"/>
  <c r="O41" i="5"/>
  <c r="M12" i="5"/>
  <c r="M35" i="5"/>
  <c r="K12" i="5"/>
  <c r="K31" i="5"/>
  <c r="G13" i="5"/>
  <c r="E8" i="5"/>
  <c r="C24" i="5"/>
  <c r="Q31" i="5"/>
  <c r="O17" i="5"/>
  <c r="O49" i="5"/>
  <c r="Q21" i="5"/>
  <c r="O7" i="5"/>
  <c r="O39" i="5"/>
  <c r="K6" i="5"/>
  <c r="K47" i="5"/>
  <c r="C21" i="5"/>
  <c r="Q6" i="5"/>
  <c r="Q22" i="5"/>
  <c r="O8" i="5"/>
  <c r="O24" i="5"/>
  <c r="O40" i="5"/>
  <c r="M33" i="5"/>
  <c r="K7" i="5"/>
  <c r="K30" i="5"/>
  <c r="G11" i="5"/>
  <c r="C23" i="5"/>
  <c r="Q8" i="5"/>
  <c r="Q24" i="5"/>
  <c r="Q40" i="5"/>
  <c r="O26" i="5"/>
  <c r="O42" i="5"/>
  <c r="M17" i="5"/>
  <c r="M36" i="5"/>
  <c r="K14" i="5"/>
  <c r="K36" i="5"/>
  <c r="G14" i="5"/>
  <c r="C7" i="5"/>
  <c r="C29" i="5"/>
  <c r="I7" i="5"/>
  <c r="I15" i="5"/>
  <c r="I23" i="5"/>
  <c r="I31" i="5"/>
  <c r="I39" i="5"/>
  <c r="I47" i="5"/>
  <c r="M10" i="5"/>
  <c r="M18" i="5"/>
  <c r="M26" i="5"/>
  <c r="M34" i="5"/>
  <c r="M42" i="5"/>
  <c r="M50" i="5"/>
  <c r="K13" i="5"/>
  <c r="K21" i="5"/>
  <c r="K29" i="5"/>
  <c r="K37" i="5"/>
  <c r="K45" i="5"/>
  <c r="I8" i="5"/>
  <c r="I16" i="5"/>
  <c r="I24" i="5"/>
  <c r="I32" i="5"/>
  <c r="I40" i="5"/>
  <c r="I48" i="5"/>
  <c r="G12" i="5"/>
  <c r="G20" i="5"/>
  <c r="G28" i="5"/>
  <c r="C14" i="5"/>
  <c r="C22" i="5"/>
  <c r="C30" i="5"/>
  <c r="I25" i="5"/>
  <c r="I18" i="5"/>
  <c r="I42" i="5"/>
  <c r="I33" i="5"/>
  <c r="I10" i="5"/>
  <c r="Q9" i="5"/>
  <c r="Q17" i="5"/>
  <c r="Q25" i="5"/>
  <c r="Q33" i="5"/>
  <c r="Q41" i="5"/>
  <c r="Q49" i="5"/>
  <c r="O19" i="5"/>
  <c r="O27" i="5"/>
  <c r="O35" i="5"/>
  <c r="O43" i="5"/>
  <c r="O51" i="5"/>
  <c r="M13" i="5"/>
  <c r="M21" i="5"/>
  <c r="M29" i="5"/>
  <c r="M37" i="5"/>
  <c r="M45" i="5"/>
  <c r="K8" i="5"/>
  <c r="K16" i="5"/>
  <c r="K24" i="5"/>
  <c r="K32" i="5"/>
  <c r="K40" i="5"/>
  <c r="K48" i="5"/>
  <c r="I11" i="5"/>
  <c r="I19" i="5"/>
  <c r="I27" i="5"/>
  <c r="I35" i="5"/>
  <c r="I43" i="5"/>
  <c r="G7" i="5"/>
  <c r="G15" i="5"/>
  <c r="G23" i="5"/>
  <c r="G31" i="5"/>
  <c r="C9" i="5"/>
  <c r="C17" i="5"/>
  <c r="C25" i="5"/>
  <c r="C33" i="5"/>
  <c r="I17" i="5"/>
  <c r="I41" i="5"/>
  <c r="I34" i="5"/>
  <c r="Q10" i="5"/>
  <c r="Q18" i="5"/>
  <c r="Q26" i="5"/>
  <c r="Q34" i="5"/>
  <c r="Q42" i="5"/>
  <c r="Q50" i="5"/>
  <c r="O20" i="5"/>
  <c r="O28" i="5"/>
  <c r="O36" i="5"/>
  <c r="O44" i="5"/>
  <c r="M6" i="5"/>
  <c r="M14" i="5"/>
  <c r="M22" i="5"/>
  <c r="M30" i="5"/>
  <c r="M38" i="5"/>
  <c r="M46" i="5"/>
  <c r="K9" i="5"/>
  <c r="K17" i="5"/>
  <c r="K25" i="5"/>
  <c r="K33" i="5"/>
  <c r="K41" i="5"/>
  <c r="K49" i="5"/>
  <c r="I12" i="5"/>
  <c r="I20" i="5"/>
  <c r="I28" i="5"/>
  <c r="I36" i="5"/>
  <c r="I44" i="5"/>
  <c r="G8" i="5"/>
  <c r="G16" i="5"/>
  <c r="G24" i="5"/>
  <c r="C10" i="5"/>
  <c r="C18" i="5"/>
  <c r="C26" i="5"/>
  <c r="C34" i="5"/>
  <c r="I9" i="5"/>
  <c r="I49" i="5"/>
  <c r="I50" i="5"/>
  <c r="Q11" i="5"/>
  <c r="Q19" i="5"/>
  <c r="Q27" i="5"/>
  <c r="Q35" i="5"/>
  <c r="Q43" i="5"/>
  <c r="Q51" i="5"/>
  <c r="O21" i="5"/>
  <c r="O29" i="5"/>
  <c r="O37" i="5"/>
  <c r="O45" i="5"/>
  <c r="M7" i="5"/>
  <c r="M15" i="5"/>
  <c r="M23" i="5"/>
  <c r="M31" i="5"/>
  <c r="M39" i="5"/>
  <c r="M47" i="5"/>
  <c r="K10" i="5"/>
  <c r="K18" i="5"/>
  <c r="K26" i="5"/>
  <c r="K34" i="5"/>
  <c r="K42" i="5"/>
  <c r="K50" i="5"/>
  <c r="I13" i="5"/>
  <c r="I21" i="5"/>
  <c r="I29" i="5"/>
  <c r="I37" i="5"/>
  <c r="I45" i="5"/>
  <c r="G9" i="5"/>
  <c r="G17" i="5"/>
  <c r="G25" i="5"/>
  <c r="H25" i="16"/>
  <c r="C11" i="5"/>
  <c r="C19" i="5"/>
  <c r="C27" i="5"/>
  <c r="C35" i="5"/>
  <c r="I26" i="5"/>
  <c r="Q12" i="5"/>
  <c r="Q20" i="5"/>
  <c r="Q28" i="5"/>
  <c r="Q36" i="5"/>
  <c r="Q44" i="5"/>
  <c r="O6" i="5"/>
  <c r="O22" i="5"/>
  <c r="O30" i="5"/>
  <c r="O38" i="5"/>
  <c r="O46" i="5"/>
  <c r="M8" i="5"/>
  <c r="M16" i="5"/>
  <c r="M24" i="5"/>
  <c r="M32" i="5"/>
  <c r="M40" i="5"/>
  <c r="M48" i="5"/>
  <c r="K11" i="5"/>
  <c r="K19" i="5"/>
  <c r="K27" i="5"/>
  <c r="K35" i="5"/>
  <c r="K43" i="5"/>
  <c r="I6" i="5"/>
  <c r="I14" i="5"/>
  <c r="I22" i="5"/>
  <c r="I30" i="5"/>
  <c r="I38" i="5"/>
  <c r="I46" i="5"/>
  <c r="G10" i="5"/>
  <c r="G18" i="5"/>
  <c r="G26" i="5"/>
  <c r="E7" i="5"/>
  <c r="C12" i="5"/>
  <c r="C20" i="5"/>
  <c r="C28" i="5"/>
  <c r="D9" i="5"/>
  <c r="E9" i="5" s="1"/>
  <c r="C25" i="16" l="1"/>
  <c r="H26" i="16"/>
  <c r="H36" i="16"/>
  <c r="H37" i="16"/>
  <c r="H40" i="16"/>
  <c r="H27" i="16"/>
  <c r="H38" i="16"/>
  <c r="E25" i="16"/>
  <c r="G25" i="16"/>
  <c r="D25" i="16"/>
  <c r="H39" i="16"/>
  <c r="H35" i="16"/>
  <c r="F25" i="16"/>
  <c r="H29" i="16"/>
  <c r="H34" i="16"/>
  <c r="H33" i="16"/>
  <c r="H32" i="16"/>
  <c r="H30" i="16"/>
  <c r="H28" i="16"/>
  <c r="H31" i="16"/>
  <c r="D10" i="5"/>
  <c r="E10" i="5" s="1"/>
  <c r="E30" i="16" l="1"/>
  <c r="E35" i="16"/>
  <c r="E28" i="16"/>
  <c r="E34" i="16"/>
  <c r="E26" i="16"/>
  <c r="E29" i="16"/>
  <c r="E32" i="16"/>
  <c r="E27" i="16"/>
  <c r="E33" i="16"/>
  <c r="E31" i="16"/>
  <c r="F39" i="16"/>
  <c r="F38" i="16"/>
  <c r="F36" i="16"/>
  <c r="F40" i="16"/>
  <c r="F37" i="16"/>
  <c r="F34" i="16"/>
  <c r="F27" i="16"/>
  <c r="F29" i="16"/>
  <c r="F35" i="16"/>
  <c r="F32" i="16"/>
  <c r="F28" i="16"/>
  <c r="F31" i="16"/>
  <c r="F33" i="16"/>
  <c r="F30" i="16"/>
  <c r="F26" i="16"/>
  <c r="D34" i="16"/>
  <c r="D32" i="16"/>
  <c r="D26" i="16"/>
  <c r="D31" i="16"/>
  <c r="D28" i="16"/>
  <c r="D27" i="16"/>
  <c r="D30" i="16"/>
  <c r="D35" i="16"/>
  <c r="D29" i="16"/>
  <c r="D33" i="16"/>
  <c r="G37" i="16"/>
  <c r="G40" i="16"/>
  <c r="G36" i="16"/>
  <c r="G26" i="16"/>
  <c r="G39" i="16"/>
  <c r="G38" i="16"/>
  <c r="G33" i="16"/>
  <c r="G32" i="16"/>
  <c r="G28" i="16"/>
  <c r="G31" i="16"/>
  <c r="G35" i="16"/>
  <c r="G34" i="16"/>
  <c r="G30" i="16"/>
  <c r="G27" i="16"/>
  <c r="G29" i="16"/>
  <c r="C28" i="16"/>
  <c r="C29" i="16"/>
  <c r="C30" i="16"/>
  <c r="C26" i="16"/>
  <c r="C27" i="16"/>
  <c r="D11" i="5"/>
  <c r="E11" i="5" s="1"/>
  <c r="D12" i="5" l="1"/>
  <c r="E12" i="5" s="1"/>
  <c r="D13" i="5" l="1"/>
  <c r="E13" i="5" s="1"/>
  <c r="D14" i="5" l="1"/>
  <c r="E14" i="5" s="1"/>
  <c r="D15" i="5" l="1"/>
  <c r="E15" i="5" s="1"/>
  <c r="D16" i="5" l="1"/>
  <c r="E16" i="5" s="1"/>
  <c r="H31" i="10" l="1"/>
  <c r="C55" i="10" l="1"/>
  <c r="H34" i="10" l="1"/>
  <c r="I18" i="10" l="1"/>
  <c r="I22" i="10" l="1"/>
  <c r="I26" i="10" s="1"/>
  <c r="C53" i="10"/>
  <c r="H33" i="10"/>
  <c r="I39" i="10" s="1"/>
  <c r="C56" i="10" l="1"/>
  <c r="I41" i="10" l="1"/>
  <c r="I45" i="10" s="1"/>
  <c r="I47" i="10" l="1"/>
</calcChain>
</file>

<file path=xl/sharedStrings.xml><?xml version="1.0" encoding="utf-8"?>
<sst xmlns="http://schemas.openxmlformats.org/spreadsheetml/2006/main" count="321" uniqueCount="205">
  <si>
    <t>STM/DMIN</t>
  </si>
  <si>
    <t>MDIV/PHD-ED</t>
  </si>
  <si>
    <t>Year</t>
  </si>
  <si>
    <t>Factor</t>
  </si>
  <si>
    <t>PHD/THD</t>
  </si>
  <si>
    <t>Associate Pastor</t>
  </si>
  <si>
    <t xml:space="preserve">Name of Worker:  </t>
  </si>
  <si>
    <t xml:space="preserve">Fiscal Year:  </t>
  </si>
  <si>
    <t xml:space="preserve">Education Level:  </t>
  </si>
  <si>
    <t>Years of Experience:</t>
  </si>
  <si>
    <t xml:space="preserve">Our Congregation:    </t>
  </si>
  <si>
    <t>Prior Congregations:  +</t>
  </si>
  <si>
    <t>Prior Secular Experience (if applicable):  +</t>
  </si>
  <si>
    <t>Total Years of Experience:  =</t>
  </si>
  <si>
    <t>Step 1</t>
  </si>
  <si>
    <t>Determine Base Salary</t>
  </si>
  <si>
    <t>Step 2</t>
  </si>
  <si>
    <t>x</t>
  </si>
  <si>
    <t>=</t>
  </si>
  <si>
    <t>Step 3</t>
  </si>
  <si>
    <t>Administrative Pastor</t>
  </si>
  <si>
    <t>+</t>
  </si>
  <si>
    <t>Principal</t>
  </si>
  <si>
    <t>-</t>
  </si>
  <si>
    <t>Suggested Salary</t>
  </si>
  <si>
    <t xml:space="preserve">Does this person supervise anyone that is making more than this person?  </t>
  </si>
  <si>
    <t>Choose Answer</t>
  </si>
  <si>
    <t>Not a Principal</t>
  </si>
  <si>
    <t>Yes</t>
  </si>
  <si>
    <t>No</t>
  </si>
  <si>
    <t>Experience</t>
  </si>
  <si>
    <t>Adams</t>
  </si>
  <si>
    <t>Calumet</t>
  </si>
  <si>
    <t>Columbia</t>
  </si>
  <si>
    <t>Dane</t>
  </si>
  <si>
    <t>Dodge</t>
  </si>
  <si>
    <t>Fond Du Lac</t>
  </si>
  <si>
    <t>Grant</t>
  </si>
  <si>
    <t>Green Lake</t>
  </si>
  <si>
    <t>Iowa</t>
  </si>
  <si>
    <t>Jefferson</t>
  </si>
  <si>
    <t>Juneau</t>
  </si>
  <si>
    <t>Kenosha</t>
  </si>
  <si>
    <t>La Crosse</t>
  </si>
  <si>
    <t>Lafayette</t>
  </si>
  <si>
    <t>Manitowoc</t>
  </si>
  <si>
    <t>Marquette</t>
  </si>
  <si>
    <t>Milwaukee</t>
  </si>
  <si>
    <t>Monroe</t>
  </si>
  <si>
    <t>Ozaukee</t>
  </si>
  <si>
    <t>Portage</t>
  </si>
  <si>
    <t>Racine</t>
  </si>
  <si>
    <t>Richland</t>
  </si>
  <si>
    <t>Rock</t>
  </si>
  <si>
    <t>Sauk</t>
  </si>
  <si>
    <t>Sheboygan</t>
  </si>
  <si>
    <t>Vernon</t>
  </si>
  <si>
    <t>Walworth</t>
  </si>
  <si>
    <t>Washington</t>
  </si>
  <si>
    <t>Waukesha</t>
  </si>
  <si>
    <t>Waushara</t>
  </si>
  <si>
    <t>Winnebago</t>
  </si>
  <si>
    <t>Friendship</t>
  </si>
  <si>
    <t>Chilton</t>
  </si>
  <si>
    <t>Madison</t>
  </si>
  <si>
    <t>County</t>
  </si>
  <si>
    <t>County Seat</t>
  </si>
  <si>
    <t>Lancaster</t>
  </si>
  <si>
    <t>Dodgeville</t>
  </si>
  <si>
    <t>Mauston</t>
  </si>
  <si>
    <t>Darlington</t>
  </si>
  <si>
    <t>Montello</t>
  </si>
  <si>
    <t>Sparta</t>
  </si>
  <si>
    <t>Port Washington</t>
  </si>
  <si>
    <t>Richland Center</t>
  </si>
  <si>
    <t>Janesville</t>
  </si>
  <si>
    <t>Baraboo</t>
  </si>
  <si>
    <t>Viroqua</t>
  </si>
  <si>
    <t>Elkhorn</t>
  </si>
  <si>
    <t>West Bend</t>
  </si>
  <si>
    <t>Wautoma</t>
  </si>
  <si>
    <t>Oshkosh</t>
  </si>
  <si>
    <t>Asst. Principal</t>
  </si>
  <si>
    <t>71 - 135</t>
  </si>
  <si>
    <t>136 - 265</t>
  </si>
  <si>
    <t>266 - 450</t>
  </si>
  <si>
    <t>451 - 700</t>
  </si>
  <si>
    <t>701 - 999</t>
  </si>
  <si>
    <t>1000+</t>
  </si>
  <si>
    <t>Not a Pastor</t>
  </si>
  <si>
    <t>Class V - MA</t>
  </si>
  <si>
    <r>
      <rPr>
        <b/>
        <sz val="11"/>
        <color theme="1"/>
        <rFont val="Calibri"/>
        <family val="2"/>
        <scheme val="minor"/>
      </rPr>
      <t>Option B</t>
    </r>
    <r>
      <rPr>
        <sz val="11"/>
        <color theme="1"/>
        <rFont val="Calibri"/>
        <family val="2"/>
        <scheme val="minor"/>
      </rPr>
      <t xml:space="preserve"> - Base Salary for Public School Teachers by County Seat</t>
    </r>
  </si>
  <si>
    <t>1 - 150 Students</t>
  </si>
  <si>
    <t>151 - 300 Students</t>
  </si>
  <si>
    <t>301 or more Students</t>
  </si>
  <si>
    <t>Multiply Adjusted Base Salary by Additional Add-On Factor(s)</t>
  </si>
  <si>
    <t>Number of months required</t>
  </si>
  <si>
    <t>Dual-Point Parish?</t>
  </si>
  <si>
    <t>SECA</t>
  </si>
  <si>
    <t>Dual-Point</t>
  </si>
  <si>
    <t>Choose Weekly Worship</t>
  </si>
  <si>
    <t>Up to 70</t>
  </si>
  <si>
    <t>Choose Enrollment</t>
  </si>
  <si>
    <r>
      <t>Determine Pro-rated Base Salary</t>
    </r>
    <r>
      <rPr>
        <i/>
        <sz val="11"/>
        <color theme="1"/>
        <rFont val="Calibri"/>
        <family val="2"/>
        <scheme val="minor"/>
      </rPr>
      <t xml:space="preserve"> (if necessary)</t>
    </r>
  </si>
  <si>
    <t>Pro-rated base salary</t>
  </si>
  <si>
    <t>% to Scale</t>
  </si>
  <si>
    <t>Percentage of Scale</t>
  </si>
  <si>
    <t>%</t>
  </si>
  <si>
    <t>Class VIII - PHD/THD</t>
  </si>
  <si>
    <t>Class VII - STM/DMIN</t>
  </si>
  <si>
    <t>Class VI - MDIV/PHD-ED</t>
  </si>
  <si>
    <t>BA (Non-Roster)</t>
  </si>
  <si>
    <t>Certificate 2</t>
  </si>
  <si>
    <t>Certificate 1</t>
  </si>
  <si>
    <t>Class IV - Certificate 2 (degreed, non-traditional route pastor)</t>
  </si>
  <si>
    <t xml:space="preserve">South Wisconsin District Suggested Salary Schedule </t>
  </si>
  <si>
    <t>BA (Rostered)</t>
  </si>
  <si>
    <t>Salary</t>
  </si>
  <si>
    <t>Class II - BA (non-rostered)</t>
  </si>
  <si>
    <t>Class III - BA (rostered)</t>
  </si>
  <si>
    <t>Class I - Certificate 1 (non-degreed)</t>
  </si>
  <si>
    <t>E.   Multiple Degrees:</t>
  </si>
  <si>
    <t>Step 4</t>
  </si>
  <si>
    <t>F.   Reduction(s):</t>
  </si>
  <si>
    <t>Optional Adjustments</t>
  </si>
  <si>
    <t>B. SECA Tax Offset for Rostered Worker:</t>
  </si>
  <si>
    <r>
      <t>Items in</t>
    </r>
    <r>
      <rPr>
        <i/>
        <sz val="10"/>
        <color indexed="12"/>
        <rFont val="Arial"/>
        <family val="2"/>
      </rPr>
      <t xml:space="preserve"> blue</t>
    </r>
    <r>
      <rPr>
        <i/>
        <sz val="10"/>
        <rFont val="Arial"/>
        <family val="2"/>
      </rPr>
      <t xml:space="preserve"> are pull-down menus. Items in </t>
    </r>
    <r>
      <rPr>
        <i/>
        <sz val="10"/>
        <color rgb="FFFF0000"/>
        <rFont val="Arial"/>
        <family val="2"/>
      </rPr>
      <t>red</t>
    </r>
    <r>
      <rPr>
        <i/>
        <sz val="10"/>
        <rFont val="Arial"/>
        <family val="2"/>
      </rPr>
      <t xml:space="preserve"> should be entered as appropriate.</t>
    </r>
  </si>
  <si>
    <t>Errors:</t>
  </si>
  <si>
    <t>Final Salary</t>
  </si>
  <si>
    <r>
      <rPr>
        <b/>
        <sz val="11"/>
        <color theme="1"/>
        <rFont val="Calibri"/>
        <family val="2"/>
        <scheme val="minor"/>
      </rPr>
      <t>Option A</t>
    </r>
    <r>
      <rPr>
        <sz val="11"/>
        <color theme="1"/>
        <rFont val="Calibri"/>
        <family val="2"/>
        <scheme val="minor"/>
      </rPr>
      <t xml:space="preserve"> - SWD Suggested Base Salary</t>
    </r>
  </si>
  <si>
    <t>A.  Education/Experience:</t>
  </si>
  <si>
    <t>D.  Performance:</t>
  </si>
  <si>
    <t>SWD Suggested Salary Worksheet</t>
  </si>
  <si>
    <t>B.  Leadership:</t>
  </si>
  <si>
    <t>Yes or No</t>
  </si>
  <si>
    <t>Years of Service</t>
  </si>
  <si>
    <t>Enrolled in EC-I &amp; EC-II</t>
  </si>
  <si>
    <t>BA in Elementary Ed or EC</t>
  </si>
  <si>
    <t>EC-I &amp; EC-II (no degree)</t>
  </si>
  <si>
    <t>*Equal to non-rostered BA with no exp.</t>
  </si>
  <si>
    <t>Base 12-Month Salary:</t>
  </si>
  <si>
    <r>
      <t>STEP 1:</t>
    </r>
    <r>
      <rPr>
        <sz val="10.5"/>
        <color theme="1"/>
        <rFont val="Calibri"/>
        <family val="2"/>
        <scheme val="minor"/>
      </rPr>
      <t xml:space="preserve"> The District’s Congregational Compensation Guide includes two options for setting a congregation’s base salary.</t>
    </r>
  </si>
  <si>
    <r>
      <rPr>
        <b/>
        <sz val="10.5"/>
        <color theme="1"/>
        <rFont val="Calibri"/>
        <family val="2"/>
        <scheme val="minor"/>
      </rPr>
      <t xml:space="preserve">% to Scale: </t>
    </r>
    <r>
      <rPr>
        <sz val="10.5"/>
        <color theme="1"/>
        <rFont val="Calibri"/>
        <family val="2"/>
        <scheme val="minor"/>
      </rPr>
      <t xml:space="preserve">For both Options A and B, we have created a “Percentage to Scale” field that allows organizations to adjust the guidelines to their unique situations. </t>
    </r>
    <r>
      <rPr>
        <sz val="10.5"/>
        <color rgb="FF000000"/>
        <rFont val="Calibri"/>
        <family val="2"/>
        <scheme val="minor"/>
      </rPr>
      <t xml:space="preserve">This factor may reflect a congregation’s need or willingness to pay below or above the standard suggested salary. </t>
    </r>
  </si>
  <si>
    <t>A. Provided Housing Reduction:</t>
  </si>
  <si>
    <t>Enter Current FMV Here</t>
  </si>
  <si>
    <t>Enter Reason Here</t>
  </si>
  <si>
    <t>Enter DCE / Deaconess / Etc. Here</t>
  </si>
  <si>
    <t>Choose Education Level </t>
  </si>
  <si>
    <t>BA (non-Ed) plus EC-I &amp; EC-II or 2 Years AA-EC</t>
  </si>
  <si>
    <r>
      <rPr>
        <b/>
        <sz val="10.5"/>
        <color theme="1"/>
        <rFont val="Calibri"/>
        <family val="2"/>
        <scheme val="minor"/>
      </rPr>
      <t xml:space="preserve">Below are suggested hourly wages for preschool and daycare workers. </t>
    </r>
    <r>
      <rPr>
        <sz val="10.5"/>
        <color theme="1"/>
        <rFont val="Calibri"/>
        <family val="2"/>
        <scheme val="minor"/>
      </rPr>
      <t>Please note that this table gives suggested hourly wages based on position (Daycare &amp; Assistant Teacher, Lead Daycare, and Lead Teacher), years of service, and completion of Early Childhood certification (noted as EC-I and EC-II) or a bachelor’s degree.</t>
    </r>
  </si>
  <si>
    <t>or</t>
  </si>
  <si>
    <t>Choose County</t>
  </si>
  <si>
    <t>Current Fair Market Value</t>
  </si>
  <si>
    <t>PhD / ThD</t>
  </si>
  <si>
    <t>MDiv / EdD</t>
  </si>
  <si>
    <t>STM / DMin</t>
  </si>
  <si>
    <t>Salary Worksheet Instructions</t>
  </si>
  <si>
    <r>
      <t>STEP 3:</t>
    </r>
    <r>
      <rPr>
        <sz val="10.5"/>
        <color theme="1"/>
        <rFont val="Calibri"/>
        <family val="2"/>
        <scheme val="minor"/>
      </rPr>
      <t xml:space="preserve"> To obtain the worker’s suggested annual salary, multiply the prorated base salary from Step 2 by individual add-on factors. The total add-on factor is computed by adding together the points credited based on: (A) education/experience, (B) leadership, (C) responsibility, (D) performance, (E) multiple degrees, and (F) any reductions where applicable, and expressing the sum as a percentage.</t>
    </r>
  </si>
  <si>
    <t>C.   Resonsibility:</t>
  </si>
  <si>
    <t>C.   Responsibility:</t>
  </si>
  <si>
    <t>BA (Non-Roster Eligible)</t>
  </si>
  <si>
    <t>2020-21</t>
  </si>
  <si>
    <t>Childcare &amp; Assistant Teacher</t>
  </si>
  <si>
    <t>Lead Childcare</t>
  </si>
  <si>
    <t>Lead Preschool Teacher</t>
  </si>
  <si>
    <t>Enter Name Here</t>
  </si>
  <si>
    <t>Enter Fiscal Year Here</t>
  </si>
  <si>
    <r>
      <t>STEP 4:</t>
    </r>
    <r>
      <rPr>
        <sz val="10.5"/>
        <color theme="1"/>
        <rFont val="Calibri"/>
        <family val="2"/>
        <scheme val="minor"/>
      </rPr>
      <t xml:space="preserve"> If appropriate, the suggested salary can be adjusted by reducing salary for the value of church-provided housing. A worker living in church-owned housing could have deducted from his/her salary an amount equal to the fair market rental value of the housing including any utilities which are paid by the congregation. To get the fair market rental value, secure two estimates and take the average.</t>
    </r>
  </si>
  <si>
    <t>2021-22</t>
  </si>
  <si>
    <t>2022-23</t>
  </si>
  <si>
    <t>MA / MS</t>
  </si>
  <si>
    <t>MA/MS</t>
  </si>
  <si>
    <t>As of August 19, 2021</t>
  </si>
  <si>
    <t>As of August 12, 2020</t>
  </si>
  <si>
    <t>As of August 29, 2022</t>
  </si>
  <si>
    <t>2023-24</t>
  </si>
  <si>
    <t>If using Option A or Option B, it is recommended that employers consider increasing the salary for professional church workers who are considered “Ministers of Religion” (ordained or commissioned) by 7.65% to offset SECA taxes.</t>
  </si>
  <si>
    <t>50th Percentile of base salary</t>
  </si>
  <si>
    <t>Green</t>
  </si>
  <si>
    <t>2024-25</t>
  </si>
  <si>
    <t>https://www.salary.com/tools/salary-calculator/public-school-teacher/milwaukee-wi?type=base&amp;edu=EDLEV4&amp;yrs=0</t>
  </si>
  <si>
    <t>As of August 24, 2023</t>
  </si>
  <si>
    <t>% Increase</t>
  </si>
  <si>
    <t>SWD Base</t>
  </si>
  <si>
    <t>Difference</t>
  </si>
  <si>
    <t>Average</t>
  </si>
  <si>
    <t>As of August 15, 2019</t>
  </si>
  <si>
    <t>25th percentile</t>
  </si>
  <si>
    <t>50th percentile</t>
  </si>
  <si>
    <t xml:space="preserve">National average of base salary for "Public School Teacher" with BA and no experience @ salary.com </t>
  </si>
  <si>
    <t>Milwaukee Public Schools</t>
  </si>
  <si>
    <t>ZipRecruiter</t>
  </si>
  <si>
    <t>Concordia Plan Services</t>
  </si>
  <si>
    <t>*Midpoint Pay for 53208</t>
  </si>
  <si>
    <t>*191 days/10-month teacher</t>
  </si>
  <si>
    <r>
      <t xml:space="preserve">STEP 2: </t>
    </r>
    <r>
      <rPr>
        <sz val="10.5"/>
        <rFont val="Calibri"/>
        <family val="2"/>
        <scheme val="minor"/>
      </rPr>
      <t>Since the base salary from Step 1 assumes a full-time salary, a proration may be made to reflect part-time or seasonal positions.</t>
    </r>
  </si>
  <si>
    <r>
      <rPr>
        <b/>
        <sz val="10.5"/>
        <color theme="1"/>
        <rFont val="Calibri"/>
        <family val="2"/>
        <scheme val="minor"/>
      </rPr>
      <t xml:space="preserve">Option B: </t>
    </r>
    <r>
      <rPr>
        <sz val="10.5"/>
        <color theme="1"/>
        <rFont val="Calibri"/>
        <family val="2"/>
        <scheme val="minor"/>
      </rPr>
      <t>The base salary is the current 50th percentile salary in the local public school (by County Seat) for a teacher with a bachelor’s degree and less than one year experience.</t>
    </r>
  </si>
  <si>
    <t>January 1, 2025 -- December 31, 2025</t>
  </si>
  <si>
    <t>January 1, 2025--December 31, 2025</t>
  </si>
  <si>
    <t>As of August 9, 2024</t>
  </si>
  <si>
    <t>https://weac.org/wp-content/uploads/2024/07/MPS-Salary-Schedule-Teacher-Unit-24-25.pdf</t>
  </si>
  <si>
    <t>https://www.concordiaplans.org/employers/resources/compensation-decision-support-tool</t>
  </si>
  <si>
    <t>https://www.ziprecruiter.com/Salaries/First-Year-Teacher-Salary--in-Wisconsin</t>
  </si>
  <si>
    <t>*First Year Teacher Salary in Wisconsin</t>
  </si>
  <si>
    <r>
      <rPr>
        <b/>
        <sz val="10.5"/>
        <rFont val="Calibri"/>
        <family val="2"/>
        <scheme val="minor"/>
      </rPr>
      <t xml:space="preserve">Option A: </t>
    </r>
    <r>
      <rPr>
        <sz val="10.5"/>
        <rFont val="Calibri"/>
        <family val="2"/>
        <scheme val="minor"/>
      </rPr>
      <t>The base salary is established from a table which is updated annually based on a sampling of public school salaries and a review of the annual pay raise for federal employees, the Social Security Administration's Cost of Living Adjustment (COLA), as well as Employment Cost Index (ECI) data from the Bureau of Labor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</si>
</sst>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quot;$&quot;#,##0"/>
    <numFmt numFmtId="165" formatCode="0.0"/>
    <numFmt numFmtId="166" formatCode="#,##0.0"/>
    <numFmt numFmtId="167" formatCode="0.0%"/>
    <numFmt numFmtId="168" formatCode="&quot;$&quot;#,##0.00"/>
  </numFmts>
  <fonts count="42" x14ac:knownFonts="1">
    <font>
      <sz val="11"/>
      <color theme="1"/>
      <name val="Calibri"/>
      <family val="2"/>
      <scheme val="minor"/>
    </font>
    <font>
      <b/>
      <sz val="11"/>
      <color theme="1"/>
      <name val="Calibri"/>
      <family val="2"/>
      <scheme val="minor"/>
    </font>
    <font>
      <sz val="10"/>
      <name val="Arial Narrow"/>
      <family val="2"/>
    </font>
    <font>
      <sz val="10"/>
      <name val="Arial"/>
      <family val="2"/>
    </font>
    <font>
      <b/>
      <sz val="14"/>
      <name val="Times New Roman"/>
      <family val="1"/>
    </font>
    <font>
      <b/>
      <sz val="10"/>
      <name val="Arial"/>
      <family val="2"/>
    </font>
    <font>
      <i/>
      <sz val="11"/>
      <color theme="1"/>
      <name val="Calibri"/>
      <family val="2"/>
      <scheme val="minor"/>
    </font>
    <font>
      <sz val="10"/>
      <color indexed="8"/>
      <name val="Arial"/>
      <family val="2"/>
    </font>
    <font>
      <sz val="10"/>
      <color indexed="12"/>
      <name val="Arial"/>
      <family val="2"/>
    </font>
    <font>
      <sz val="10"/>
      <color indexed="10"/>
      <name val="Arial"/>
      <family val="2"/>
    </font>
    <font>
      <i/>
      <sz val="10"/>
      <color indexed="12"/>
      <name val="Arial"/>
      <family val="2"/>
    </font>
    <font>
      <i/>
      <sz val="10"/>
      <name val="Arial"/>
      <family val="2"/>
    </font>
    <font>
      <sz val="11"/>
      <name val="Calibri"/>
      <family val="2"/>
      <scheme val="minor"/>
    </font>
    <font>
      <b/>
      <i/>
      <sz val="11"/>
      <color theme="1"/>
      <name val="Calibri"/>
      <family val="2"/>
      <scheme val="minor"/>
    </font>
    <font>
      <sz val="11"/>
      <color rgb="FF0000FF"/>
      <name val="Calibri"/>
      <family val="2"/>
      <scheme val="minor"/>
    </font>
    <font>
      <b/>
      <i/>
      <sz val="11"/>
      <color theme="5" tint="-0.249977111117893"/>
      <name val="Calibri"/>
      <family val="2"/>
      <scheme val="minor"/>
    </font>
    <font>
      <b/>
      <i/>
      <sz val="10"/>
      <color theme="5" tint="-0.249977111117893"/>
      <name val="Arial"/>
      <family val="2"/>
    </font>
    <font>
      <sz val="11"/>
      <color theme="5" tint="-0.249977111117893"/>
      <name val="Calibri"/>
      <family val="2"/>
      <scheme val="minor"/>
    </font>
    <font>
      <sz val="11"/>
      <color rgb="FFFF0000"/>
      <name val="Calibri"/>
      <family val="2"/>
      <scheme val="minor"/>
    </font>
    <font>
      <i/>
      <sz val="10"/>
      <color rgb="FFFF0000"/>
      <name val="Arial"/>
      <family val="2"/>
    </font>
    <font>
      <sz val="10.5"/>
      <color theme="1"/>
      <name val="Calibri"/>
      <family val="2"/>
      <scheme val="minor"/>
    </font>
    <font>
      <b/>
      <sz val="10.5"/>
      <color theme="1"/>
      <name val="Calibri"/>
      <family val="2"/>
      <scheme val="minor"/>
    </font>
    <font>
      <i/>
      <sz val="10.5"/>
      <color theme="1"/>
      <name val="Calibri"/>
      <family val="2"/>
      <scheme val="minor"/>
    </font>
    <font>
      <sz val="10.5"/>
      <color rgb="FF000000"/>
      <name val="Calibri"/>
      <family val="2"/>
      <scheme val="minor"/>
    </font>
    <font>
      <sz val="10"/>
      <color rgb="FFFF0000"/>
      <name val="Arial"/>
      <family val="2"/>
    </font>
    <font>
      <sz val="10.5"/>
      <name val="Calibri"/>
      <family val="2"/>
      <scheme val="minor"/>
    </font>
    <font>
      <b/>
      <sz val="10.5"/>
      <color theme="0"/>
      <name val="Calibri"/>
      <family val="2"/>
      <scheme val="minor"/>
    </font>
    <font>
      <b/>
      <sz val="20"/>
      <name val="Calibri Light"/>
      <family val="2"/>
      <scheme val="major"/>
    </font>
    <font>
      <sz val="20"/>
      <name val="Calibri Light"/>
      <family val="2"/>
      <scheme val="major"/>
    </font>
    <font>
      <sz val="20"/>
      <color theme="1"/>
      <name val="Calibri Light"/>
      <family val="2"/>
      <scheme val="major"/>
    </font>
    <font>
      <i/>
      <sz val="20"/>
      <name val="Calibri Light"/>
      <family val="2"/>
      <scheme val="major"/>
    </font>
    <font>
      <b/>
      <u/>
      <sz val="20"/>
      <name val="Calibri Light"/>
      <family val="2"/>
      <scheme val="major"/>
    </font>
    <font>
      <b/>
      <sz val="11"/>
      <name val="Calibri"/>
      <family val="2"/>
      <scheme val="minor"/>
    </font>
    <font>
      <b/>
      <sz val="10.5"/>
      <color rgb="FF000000"/>
      <name val="Calibri"/>
      <family val="2"/>
      <scheme val="minor"/>
    </font>
    <font>
      <i/>
      <sz val="10.5"/>
      <color rgb="FFFF0000"/>
      <name val="Calibri"/>
      <family val="2"/>
      <scheme val="minor"/>
    </font>
    <font>
      <sz val="10.5"/>
      <color rgb="FFFF0000"/>
      <name val="Calibri"/>
      <family val="2"/>
      <scheme val="minor"/>
    </font>
    <font>
      <u/>
      <sz val="11"/>
      <color theme="10"/>
      <name val="Calibri"/>
      <family val="2"/>
      <scheme val="minor"/>
    </font>
    <font>
      <i/>
      <sz val="10.5"/>
      <color theme="0"/>
      <name val="Calibri"/>
      <family val="2"/>
      <scheme val="minor"/>
    </font>
    <font>
      <sz val="10.5"/>
      <color theme="0"/>
      <name val="Calibri"/>
      <family val="2"/>
      <scheme val="minor"/>
    </font>
    <font>
      <b/>
      <sz val="10.5"/>
      <name val="Calibri"/>
      <family val="2"/>
      <scheme val="minor"/>
    </font>
    <font>
      <b/>
      <i/>
      <sz val="10.5"/>
      <color rgb="FFFF0000"/>
      <name val="Calibri"/>
      <family val="2"/>
      <scheme val="minor"/>
    </font>
    <font>
      <sz val="11"/>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auto="1"/>
      </bottom>
      <diagonal/>
    </border>
    <border>
      <left style="thin">
        <color indexed="64"/>
      </left>
      <right style="medium">
        <color indexed="64"/>
      </right>
      <top style="thin">
        <color indexed="64"/>
      </top>
      <bottom/>
      <diagonal/>
    </border>
    <border>
      <left style="thin">
        <color indexed="64"/>
      </left>
      <right style="thin">
        <color auto="1"/>
      </right>
      <top style="thin">
        <color indexed="64"/>
      </top>
      <bottom style="medium">
        <color indexed="64"/>
      </bottom>
      <diagonal/>
    </border>
    <border>
      <left style="thin">
        <color indexed="64"/>
      </left>
      <right style="medium">
        <color indexed="64"/>
      </right>
      <top/>
      <bottom style="thin">
        <color auto="1"/>
      </bottom>
      <diagonal/>
    </border>
    <border>
      <left style="thin">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medium">
        <color indexed="64"/>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thin">
        <color indexed="64"/>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top/>
      <bottom style="double">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3">
    <xf numFmtId="0" fontId="0" fillId="0" borderId="0"/>
    <xf numFmtId="0" fontId="36" fillId="0" borderId="0" applyNumberFormat="0" applyFill="0" applyBorder="0" applyAlignment="0" applyProtection="0"/>
    <xf numFmtId="9" fontId="41" fillId="0" borderId="0" applyFont="0" applyFill="0" applyBorder="0" applyAlignment="0" applyProtection="0"/>
  </cellStyleXfs>
  <cellXfs count="263">
    <xf numFmtId="0" fontId="0" fillId="0" borderId="0" xfId="0"/>
    <xf numFmtId="3" fontId="2" fillId="2" borderId="0" xfId="0" applyNumberFormat="1" applyFont="1" applyFill="1" applyProtection="1">
      <protection hidden="1"/>
    </xf>
    <xf numFmtId="1" fontId="4" fillId="2" borderId="0" xfId="0" applyNumberFormat="1" applyFont="1" applyFill="1" applyProtection="1">
      <protection hidden="1"/>
    </xf>
    <xf numFmtId="0" fontId="9" fillId="0" borderId="0" xfId="0" applyFont="1"/>
    <xf numFmtId="0" fontId="0" fillId="0" borderId="20" xfId="0" applyBorder="1"/>
    <xf numFmtId="0" fontId="5" fillId="0" borderId="12" xfId="0" applyFont="1" applyBorder="1"/>
    <xf numFmtId="0" fontId="0" fillId="0" borderId="12" xfId="0" applyBorder="1"/>
    <xf numFmtId="3" fontId="0" fillId="0" borderId="12" xfId="0" applyNumberFormat="1" applyBorder="1"/>
    <xf numFmtId="0" fontId="0" fillId="0" borderId="0" xfId="0" applyAlignment="1">
      <alignment horizontal="right"/>
    </xf>
    <xf numFmtId="3" fontId="0" fillId="0" borderId="12" xfId="0" applyNumberFormat="1" applyBorder="1" applyAlignment="1">
      <alignment horizontal="right"/>
    </xf>
    <xf numFmtId="3" fontId="0" fillId="0" borderId="6" xfId="0" applyNumberFormat="1" applyBorder="1" applyAlignment="1">
      <alignment horizontal="right"/>
    </xf>
    <xf numFmtId="9" fontId="0" fillId="0" borderId="12" xfId="0" applyNumberFormat="1" applyBorder="1" applyAlignment="1">
      <alignment horizontal="right"/>
    </xf>
    <xf numFmtId="0" fontId="0" fillId="0" borderId="5" xfId="0" applyBorder="1"/>
    <xf numFmtId="0" fontId="1" fillId="0" borderId="0" xfId="0" applyFont="1"/>
    <xf numFmtId="0" fontId="6" fillId="0" borderId="0" xfId="0" applyFont="1"/>
    <xf numFmtId="0" fontId="0" fillId="0" borderId="19" xfId="0" applyBorder="1"/>
    <xf numFmtId="4" fontId="0" fillId="0" borderId="6" xfId="0" applyNumberFormat="1" applyBorder="1" applyAlignment="1">
      <alignment horizontal="right"/>
    </xf>
    <xf numFmtId="0" fontId="12" fillId="0" borderId="0" xfId="0" applyFont="1"/>
    <xf numFmtId="0" fontId="7" fillId="0" borderId="0" xfId="0" applyFont="1" applyAlignment="1">
      <alignment horizontal="right"/>
    </xf>
    <xf numFmtId="3" fontId="0" fillId="0" borderId="0" xfId="0" applyNumberFormat="1"/>
    <xf numFmtId="0" fontId="0" fillId="0" borderId="17" xfId="0" applyBorder="1"/>
    <xf numFmtId="0" fontId="1" fillId="0" borderId="1" xfId="0" applyFont="1" applyBorder="1"/>
    <xf numFmtId="0" fontId="15" fillId="0" borderId="12" xfId="0" applyFont="1" applyBorder="1"/>
    <xf numFmtId="0" fontId="1" fillId="0" borderId="17" xfId="0" applyFont="1" applyBorder="1"/>
    <xf numFmtId="1" fontId="0" fillId="0" borderId="0" xfId="0" applyNumberFormat="1"/>
    <xf numFmtId="165" fontId="2" fillId="2" borderId="0" xfId="0" applyNumberFormat="1" applyFont="1" applyFill="1" applyProtection="1">
      <protection hidden="1"/>
    </xf>
    <xf numFmtId="165" fontId="0" fillId="0" borderId="0" xfId="0" applyNumberFormat="1"/>
    <xf numFmtId="0" fontId="18" fillId="0" borderId="0" xfId="0" applyFont="1"/>
    <xf numFmtId="2" fontId="0" fillId="0" borderId="0" xfId="0" applyNumberFormat="1" applyAlignment="1">
      <alignment horizontal="right"/>
    </xf>
    <xf numFmtId="3" fontId="1" fillId="0" borderId="48" xfId="0" applyNumberFormat="1" applyFont="1" applyBorder="1"/>
    <xf numFmtId="4" fontId="0" fillId="0" borderId="12" xfId="0" applyNumberFormat="1" applyBorder="1" applyAlignment="1">
      <alignment horizontal="right"/>
    </xf>
    <xf numFmtId="0" fontId="6" fillId="0" borderId="12" xfId="0" applyFont="1" applyBorder="1"/>
    <xf numFmtId="0" fontId="15" fillId="0" borderId="0" xfId="0" applyFont="1"/>
    <xf numFmtId="10" fontId="0" fillId="0" borderId="0" xfId="0" applyNumberFormat="1"/>
    <xf numFmtId="0" fontId="21" fillId="0" borderId="0" xfId="0" applyFont="1" applyAlignment="1">
      <alignment horizontal="center" vertical="center" wrapText="1"/>
    </xf>
    <xf numFmtId="0" fontId="22" fillId="0" borderId="0" xfId="0" applyFont="1" applyAlignment="1">
      <alignment horizontal="center" vertical="center" wrapText="1"/>
    </xf>
    <xf numFmtId="0" fontId="1" fillId="0" borderId="0" xfId="0" applyFont="1" applyAlignment="1">
      <alignment horizontal="center"/>
    </xf>
    <xf numFmtId="8" fontId="20" fillId="0" borderId="0" xfId="0" applyNumberFormat="1" applyFont="1" applyAlignment="1">
      <alignment horizontal="center" vertical="center" wrapText="1"/>
    </xf>
    <xf numFmtId="0" fontId="0" fillId="0" borderId="0" xfId="0"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1" fontId="14" fillId="4" borderId="12" xfId="0" applyNumberFormat="1" applyFont="1" applyFill="1" applyBorder="1" applyProtection="1">
      <protection locked="0"/>
    </xf>
    <xf numFmtId="3" fontId="3" fillId="0" borderId="6" xfId="0" applyNumberFormat="1" applyFont="1" applyBorder="1" applyAlignment="1">
      <alignment horizontal="right"/>
    </xf>
    <xf numFmtId="0" fontId="21" fillId="4" borderId="0" xfId="0" applyFont="1" applyFill="1"/>
    <xf numFmtId="0" fontId="20" fillId="4" borderId="0" xfId="0" applyFont="1" applyFill="1"/>
    <xf numFmtId="0" fontId="20" fillId="0" borderId="0" xfId="0" applyFont="1"/>
    <xf numFmtId="164" fontId="20" fillId="0" borderId="0" xfId="0" applyNumberFormat="1" applyFont="1"/>
    <xf numFmtId="0" fontId="23" fillId="4" borderId="0" xfId="0" applyFont="1" applyFill="1"/>
    <xf numFmtId="10" fontId="20" fillId="4" borderId="0" xfId="0" applyNumberFormat="1" applyFont="1" applyFill="1"/>
    <xf numFmtId="0" fontId="23" fillId="0" borderId="0" xfId="0" applyFont="1"/>
    <xf numFmtId="164" fontId="21" fillId="0" borderId="0" xfId="0" applyNumberFormat="1" applyFont="1"/>
    <xf numFmtId="17" fontId="20" fillId="4" borderId="0" xfId="0" applyNumberFormat="1" applyFont="1" applyFill="1"/>
    <xf numFmtId="0" fontId="21" fillId="0" borderId="0" xfId="0" applyFont="1"/>
    <xf numFmtId="0" fontId="20" fillId="4" borderId="0" xfId="0" applyFont="1" applyFill="1" applyAlignment="1">
      <alignment horizontal="left"/>
    </xf>
    <xf numFmtId="165" fontId="21" fillId="2" borderId="7" xfId="0" applyNumberFormat="1" applyFont="1" applyFill="1" applyBorder="1" applyAlignment="1" applyProtection="1">
      <alignment horizontal="center"/>
      <protection hidden="1"/>
    </xf>
    <xf numFmtId="3" fontId="21" fillId="2" borderId="4" xfId="0" applyNumberFormat="1" applyFont="1" applyFill="1" applyBorder="1" applyAlignment="1" applyProtection="1">
      <alignment horizontal="center"/>
      <protection hidden="1"/>
    </xf>
    <xf numFmtId="1" fontId="25" fillId="2" borderId="10" xfId="0" applyNumberFormat="1" applyFont="1" applyFill="1" applyBorder="1" applyAlignment="1" applyProtection="1">
      <alignment horizontal="center"/>
      <protection hidden="1"/>
    </xf>
    <xf numFmtId="165" fontId="20" fillId="0" borderId="0" xfId="0" applyNumberFormat="1" applyFont="1" applyAlignment="1">
      <alignment horizontal="center"/>
    </xf>
    <xf numFmtId="3" fontId="25" fillId="6" borderId="18" xfId="0" applyNumberFormat="1" applyFont="1" applyFill="1" applyBorder="1" applyAlignment="1" applyProtection="1">
      <alignment horizontal="center"/>
      <protection hidden="1"/>
    </xf>
    <xf numFmtId="165" fontId="20" fillId="6" borderId="0" xfId="0" applyNumberFormat="1" applyFont="1" applyFill="1" applyAlignment="1">
      <alignment horizontal="center"/>
    </xf>
    <xf numFmtId="3" fontId="25" fillId="6" borderId="0" xfId="0" applyNumberFormat="1" applyFont="1" applyFill="1" applyAlignment="1" applyProtection="1">
      <alignment horizontal="center"/>
      <protection hidden="1"/>
    </xf>
    <xf numFmtId="165" fontId="25" fillId="6" borderId="17" xfId="0" applyNumberFormat="1" applyFont="1" applyFill="1" applyBorder="1" applyAlignment="1" applyProtection="1">
      <alignment horizontal="center"/>
      <protection hidden="1"/>
    </xf>
    <xf numFmtId="165" fontId="25" fillId="6" borderId="0" xfId="0" applyNumberFormat="1" applyFont="1" applyFill="1" applyAlignment="1" applyProtection="1">
      <alignment horizontal="center"/>
      <protection hidden="1"/>
    </xf>
    <xf numFmtId="3" fontId="25" fillId="6" borderId="9" xfId="0" applyNumberFormat="1" applyFont="1" applyFill="1" applyBorder="1" applyAlignment="1" applyProtection="1">
      <alignment horizontal="center"/>
      <protection hidden="1"/>
    </xf>
    <xf numFmtId="1" fontId="25" fillId="2" borderId="23" xfId="0" applyNumberFormat="1" applyFont="1" applyFill="1" applyBorder="1" applyAlignment="1" applyProtection="1">
      <alignment horizontal="center"/>
      <protection hidden="1"/>
    </xf>
    <xf numFmtId="165" fontId="20" fillId="6" borderId="14" xfId="0" applyNumberFormat="1" applyFont="1" applyFill="1" applyBorder="1" applyAlignment="1">
      <alignment horizontal="center"/>
    </xf>
    <xf numFmtId="3" fontId="25" fillId="6" borderId="2" xfId="0" applyNumberFormat="1" applyFont="1" applyFill="1" applyBorder="1" applyAlignment="1" applyProtection="1">
      <alignment horizontal="center"/>
      <protection hidden="1"/>
    </xf>
    <xf numFmtId="3" fontId="25" fillId="6" borderId="14" xfId="0" applyNumberFormat="1" applyFont="1" applyFill="1" applyBorder="1" applyAlignment="1" applyProtection="1">
      <alignment horizontal="center"/>
      <protection hidden="1"/>
    </xf>
    <xf numFmtId="165" fontId="25" fillId="6" borderId="1" xfId="0" applyNumberFormat="1" applyFont="1" applyFill="1" applyBorder="1" applyAlignment="1" applyProtection="1">
      <alignment horizontal="center"/>
      <protection hidden="1"/>
    </xf>
    <xf numFmtId="165" fontId="25" fillId="6" borderId="14" xfId="0" applyNumberFormat="1" applyFont="1" applyFill="1" applyBorder="1" applyAlignment="1" applyProtection="1">
      <alignment horizontal="center"/>
      <protection hidden="1"/>
    </xf>
    <xf numFmtId="3" fontId="25" fillId="6" borderId="21" xfId="0" applyNumberFormat="1" applyFont="1" applyFill="1" applyBorder="1" applyAlignment="1" applyProtection="1">
      <alignment horizontal="center"/>
      <protection hidden="1"/>
    </xf>
    <xf numFmtId="1" fontId="25" fillId="2" borderId="11" xfId="0" applyNumberFormat="1" applyFont="1" applyFill="1" applyBorder="1" applyAlignment="1" applyProtection="1">
      <alignment horizontal="center"/>
      <protection hidden="1"/>
    </xf>
    <xf numFmtId="165" fontId="20" fillId="6" borderId="12" xfId="0" applyNumberFormat="1" applyFont="1" applyFill="1" applyBorder="1" applyAlignment="1">
      <alignment horizontal="center"/>
    </xf>
    <xf numFmtId="3" fontId="25" fillId="6" borderId="19" xfId="0" applyNumberFormat="1" applyFont="1" applyFill="1" applyBorder="1" applyAlignment="1" applyProtection="1">
      <alignment horizontal="center"/>
      <protection hidden="1"/>
    </xf>
    <xf numFmtId="3" fontId="25" fillId="6" borderId="12" xfId="0" applyNumberFormat="1" applyFont="1" applyFill="1" applyBorder="1" applyAlignment="1" applyProtection="1">
      <alignment horizontal="center"/>
      <protection hidden="1"/>
    </xf>
    <xf numFmtId="165" fontId="25" fillId="6" borderId="5" xfId="0" applyNumberFormat="1" applyFont="1" applyFill="1" applyBorder="1" applyAlignment="1" applyProtection="1">
      <alignment horizontal="center"/>
      <protection hidden="1"/>
    </xf>
    <xf numFmtId="165" fontId="25" fillId="6" borderId="12" xfId="0" applyNumberFormat="1" applyFont="1" applyFill="1" applyBorder="1" applyAlignment="1" applyProtection="1">
      <alignment horizontal="center"/>
      <protection hidden="1"/>
    </xf>
    <xf numFmtId="3" fontId="25" fillId="6" borderId="13" xfId="0" applyNumberFormat="1" applyFont="1" applyFill="1" applyBorder="1" applyAlignment="1" applyProtection="1">
      <alignment horizontal="center"/>
      <protection hidden="1"/>
    </xf>
    <xf numFmtId="165" fontId="20" fillId="6" borderId="1" xfId="0" applyNumberFormat="1" applyFont="1" applyFill="1" applyBorder="1" applyAlignment="1">
      <alignment horizontal="center"/>
    </xf>
    <xf numFmtId="165" fontId="20" fillId="6" borderId="17" xfId="0" applyNumberFormat="1" applyFont="1" applyFill="1" applyBorder="1" applyAlignment="1">
      <alignment horizontal="center"/>
    </xf>
    <xf numFmtId="165" fontId="20" fillId="6" borderId="5" xfId="0" applyNumberFormat="1" applyFont="1" applyFill="1" applyBorder="1" applyAlignment="1">
      <alignment horizontal="center"/>
    </xf>
    <xf numFmtId="1" fontId="25" fillId="2" borderId="15" xfId="0" applyNumberFormat="1" applyFont="1" applyFill="1" applyBorder="1" applyAlignment="1" applyProtection="1">
      <alignment horizontal="center"/>
      <protection hidden="1"/>
    </xf>
    <xf numFmtId="165" fontId="20" fillId="6" borderId="3" xfId="0" applyNumberFormat="1" applyFont="1" applyFill="1" applyBorder="1" applyAlignment="1">
      <alignment horizontal="center"/>
    </xf>
    <xf numFmtId="3" fontId="25" fillId="6" borderId="7" xfId="0" applyNumberFormat="1" applyFont="1" applyFill="1" applyBorder="1" applyAlignment="1" applyProtection="1">
      <alignment horizontal="center"/>
      <protection hidden="1"/>
    </xf>
    <xf numFmtId="165" fontId="25" fillId="6" borderId="7" xfId="0" applyNumberFormat="1" applyFont="1" applyFill="1" applyBorder="1" applyAlignment="1" applyProtection="1">
      <alignment horizontal="center"/>
      <protection hidden="1"/>
    </xf>
    <xf numFmtId="3" fontId="25" fillId="6" borderId="4" xfId="0" applyNumberFormat="1" applyFont="1" applyFill="1" applyBorder="1" applyAlignment="1" applyProtection="1">
      <alignment horizontal="center"/>
      <protection hidden="1"/>
    </xf>
    <xf numFmtId="165" fontId="25" fillId="6" borderId="3" xfId="0" applyNumberFormat="1" applyFont="1" applyFill="1" applyBorder="1" applyAlignment="1" applyProtection="1">
      <alignment horizontal="center"/>
      <protection hidden="1"/>
    </xf>
    <xf numFmtId="3" fontId="25" fillId="6" borderId="16" xfId="0" applyNumberFormat="1" applyFont="1" applyFill="1" applyBorder="1" applyAlignment="1" applyProtection="1">
      <alignment horizontal="center"/>
      <protection hidden="1"/>
    </xf>
    <xf numFmtId="0" fontId="26" fillId="7" borderId="24" xfId="0" applyFont="1" applyFill="1" applyBorder="1" applyAlignment="1">
      <alignment horizontal="center"/>
    </xf>
    <xf numFmtId="0" fontId="26" fillId="7" borderId="40" xfId="0" applyFont="1" applyFill="1" applyBorder="1" applyAlignment="1">
      <alignment horizontal="center"/>
    </xf>
    <xf numFmtId="0" fontId="26" fillId="7" borderId="41" xfId="0" applyFont="1" applyFill="1" applyBorder="1" applyAlignment="1">
      <alignment horizontal="center"/>
    </xf>
    <xf numFmtId="0" fontId="20" fillId="5" borderId="38" xfId="0" applyFont="1" applyFill="1" applyBorder="1" applyAlignment="1">
      <alignment horizontal="center"/>
    </xf>
    <xf numFmtId="0" fontId="20" fillId="5" borderId="26" xfId="0" applyFont="1" applyFill="1" applyBorder="1" applyAlignment="1">
      <alignment horizontal="center"/>
    </xf>
    <xf numFmtId="0" fontId="20" fillId="5" borderId="32" xfId="0" applyFont="1" applyFill="1" applyBorder="1" applyAlignment="1">
      <alignment horizontal="center"/>
    </xf>
    <xf numFmtId="0" fontId="20" fillId="5" borderId="28" xfId="0" applyFont="1" applyFill="1" applyBorder="1" applyAlignment="1">
      <alignment horizontal="center"/>
    </xf>
    <xf numFmtId="0" fontId="20" fillId="5" borderId="27" xfId="0" applyFont="1" applyFill="1" applyBorder="1" applyAlignment="1">
      <alignment horizontal="center"/>
    </xf>
    <xf numFmtId="0" fontId="20" fillId="5" borderId="37" xfId="0" applyFont="1" applyFill="1" applyBorder="1" applyAlignment="1">
      <alignment horizontal="center"/>
    </xf>
    <xf numFmtId="0" fontId="20" fillId="5" borderId="29" xfId="0" applyFont="1" applyFill="1" applyBorder="1" applyAlignment="1">
      <alignment horizontal="center"/>
    </xf>
    <xf numFmtId="0" fontId="20" fillId="5" borderId="35" xfId="0" applyFont="1" applyFill="1" applyBorder="1" applyAlignment="1">
      <alignment horizontal="center"/>
    </xf>
    <xf numFmtId="0" fontId="20" fillId="5" borderId="19" xfId="0" applyFont="1" applyFill="1" applyBorder="1" applyAlignment="1">
      <alignment horizontal="center"/>
    </xf>
    <xf numFmtId="8" fontId="20" fillId="0" borderId="0" xfId="0" applyNumberFormat="1" applyFont="1" applyAlignment="1">
      <alignment horizontal="right" vertical="center" wrapText="1"/>
    </xf>
    <xf numFmtId="1" fontId="27" fillId="2" borderId="0" xfId="0" applyNumberFormat="1" applyFont="1" applyFill="1" applyProtection="1">
      <protection hidden="1"/>
    </xf>
    <xf numFmtId="165" fontId="28" fillId="2" borderId="0" xfId="0" applyNumberFormat="1" applyFont="1" applyFill="1" applyProtection="1">
      <protection hidden="1"/>
    </xf>
    <xf numFmtId="3" fontId="28" fillId="2" borderId="0" xfId="0" applyNumberFormat="1" applyFont="1" applyFill="1" applyProtection="1">
      <protection hidden="1"/>
    </xf>
    <xf numFmtId="0" fontId="27" fillId="0" borderId="0" xfId="0" applyFont="1"/>
    <xf numFmtId="0" fontId="30" fillId="0" borderId="0" xfId="0" applyFont="1" applyAlignment="1">
      <alignment horizontal="right"/>
    </xf>
    <xf numFmtId="0" fontId="29" fillId="0" borderId="0" xfId="0" applyFont="1"/>
    <xf numFmtId="165" fontId="27" fillId="2" borderId="0" xfId="0" applyNumberFormat="1" applyFont="1" applyFill="1" applyAlignment="1" applyProtection="1">
      <alignment horizontal="center"/>
      <protection hidden="1"/>
    </xf>
    <xf numFmtId="3" fontId="29" fillId="0" borderId="0" xfId="0" applyNumberFormat="1" applyFont="1"/>
    <xf numFmtId="3" fontId="27" fillId="2" borderId="0" xfId="0" applyNumberFormat="1" applyFont="1" applyFill="1" applyAlignment="1" applyProtection="1">
      <alignment horizontal="right" vertical="top"/>
      <protection hidden="1"/>
    </xf>
    <xf numFmtId="165" fontId="29" fillId="0" borderId="0" xfId="0" applyNumberFormat="1" applyFont="1"/>
    <xf numFmtId="3" fontId="30" fillId="2" borderId="0" xfId="0" applyNumberFormat="1" applyFont="1" applyFill="1" applyProtection="1">
      <protection hidden="1"/>
    </xf>
    <xf numFmtId="0" fontId="21" fillId="0" borderId="0" xfId="0" applyFont="1" applyAlignment="1">
      <alignment vertical="center" wrapText="1"/>
    </xf>
    <xf numFmtId="0" fontId="20" fillId="0" borderId="0" xfId="0" applyFont="1" applyAlignment="1">
      <alignment vertical="center" wrapText="1"/>
    </xf>
    <xf numFmtId="165" fontId="20" fillId="4" borderId="1" xfId="0" applyNumberFormat="1" applyFont="1" applyFill="1" applyBorder="1" applyAlignment="1">
      <alignment horizontal="center"/>
    </xf>
    <xf numFmtId="3" fontId="25" fillId="4" borderId="2" xfId="0" applyNumberFormat="1" applyFont="1" applyFill="1" applyBorder="1" applyAlignment="1" applyProtection="1">
      <alignment horizontal="center"/>
      <protection hidden="1"/>
    </xf>
    <xf numFmtId="165" fontId="20" fillId="4" borderId="17" xfId="0" applyNumberFormat="1" applyFont="1" applyFill="1" applyBorder="1" applyAlignment="1">
      <alignment horizontal="center"/>
    </xf>
    <xf numFmtId="3" fontId="25" fillId="4" borderId="18" xfId="0" applyNumberFormat="1" applyFont="1" applyFill="1" applyBorder="1" applyAlignment="1" applyProtection="1">
      <alignment horizontal="center"/>
      <protection hidden="1"/>
    </xf>
    <xf numFmtId="3" fontId="25" fillId="4" borderId="0" xfId="0" applyNumberFormat="1" applyFont="1" applyFill="1" applyAlignment="1" applyProtection="1">
      <alignment horizontal="center"/>
      <protection hidden="1"/>
    </xf>
    <xf numFmtId="3" fontId="25" fillId="4" borderId="14" xfId="0" applyNumberFormat="1" applyFont="1" applyFill="1" applyBorder="1" applyAlignment="1" applyProtection="1">
      <alignment horizontal="center"/>
      <protection hidden="1"/>
    </xf>
    <xf numFmtId="165" fontId="20" fillId="4" borderId="0" xfId="0" applyNumberFormat="1" applyFont="1" applyFill="1" applyAlignment="1">
      <alignment horizontal="center"/>
    </xf>
    <xf numFmtId="165" fontId="25" fillId="4" borderId="0" xfId="0" applyNumberFormat="1" applyFont="1" applyFill="1" applyAlignment="1" applyProtection="1">
      <alignment horizontal="center"/>
      <protection hidden="1"/>
    </xf>
    <xf numFmtId="0" fontId="20" fillId="4" borderId="0" xfId="0" applyFont="1" applyFill="1" applyAlignment="1">
      <alignment horizontal="right"/>
    </xf>
    <xf numFmtId="165" fontId="20" fillId="4" borderId="0" xfId="0" applyNumberFormat="1" applyFont="1" applyFill="1"/>
    <xf numFmtId="165" fontId="20" fillId="4" borderId="3" xfId="0" applyNumberFormat="1" applyFont="1" applyFill="1" applyBorder="1" applyAlignment="1">
      <alignment horizontal="center"/>
    </xf>
    <xf numFmtId="3" fontId="25" fillId="4" borderId="7" xfId="0" applyNumberFormat="1" applyFont="1" applyFill="1" applyBorder="1" applyAlignment="1" applyProtection="1">
      <alignment horizontal="center"/>
      <protection hidden="1"/>
    </xf>
    <xf numFmtId="165" fontId="20" fillId="4" borderId="7" xfId="0" applyNumberFormat="1" applyFont="1" applyFill="1" applyBorder="1" applyAlignment="1">
      <alignment horizontal="center"/>
    </xf>
    <xf numFmtId="165" fontId="25" fillId="4" borderId="7" xfId="0" applyNumberFormat="1" applyFont="1" applyFill="1" applyBorder="1" applyAlignment="1" applyProtection="1">
      <alignment horizontal="center"/>
      <protection hidden="1"/>
    </xf>
    <xf numFmtId="3" fontId="25" fillId="4" borderId="4" xfId="0" applyNumberFormat="1" applyFont="1" applyFill="1" applyBorder="1" applyAlignment="1" applyProtection="1">
      <alignment horizontal="center"/>
      <protection hidden="1"/>
    </xf>
    <xf numFmtId="165" fontId="25" fillId="4" borderId="14" xfId="0" applyNumberFormat="1" applyFont="1" applyFill="1" applyBorder="1" applyAlignment="1" applyProtection="1">
      <alignment horizontal="center"/>
      <protection hidden="1"/>
    </xf>
    <xf numFmtId="0" fontId="21" fillId="0" borderId="49" xfId="0" applyFont="1" applyBorder="1" applyAlignment="1">
      <alignment horizontal="center" vertical="center" wrapText="1"/>
    </xf>
    <xf numFmtId="0" fontId="22" fillId="0" borderId="49" xfId="0" applyFont="1" applyBorder="1" applyAlignment="1">
      <alignment horizontal="center" vertical="center" wrapText="1"/>
    </xf>
    <xf numFmtId="8" fontId="20" fillId="4" borderId="39" xfId="0" applyNumberFormat="1" applyFont="1" applyFill="1" applyBorder="1" applyAlignment="1">
      <alignment horizontal="center" vertical="center" wrapText="1"/>
    </xf>
    <xf numFmtId="8" fontId="20" fillId="4" borderId="50" xfId="0" applyNumberFormat="1" applyFont="1" applyFill="1" applyBorder="1" applyAlignment="1">
      <alignment horizontal="center" vertical="center" wrapText="1"/>
    </xf>
    <xf numFmtId="8" fontId="20" fillId="4" borderId="51" xfId="0" applyNumberFormat="1" applyFont="1" applyFill="1" applyBorder="1" applyAlignment="1">
      <alignment horizontal="center" vertical="center" wrapText="1"/>
    </xf>
    <xf numFmtId="0" fontId="21" fillId="0" borderId="39" xfId="0" applyFont="1" applyBorder="1" applyAlignment="1">
      <alignment horizontal="center" vertical="center" wrapText="1"/>
    </xf>
    <xf numFmtId="8" fontId="20" fillId="0" borderId="39" xfId="0" applyNumberFormat="1" applyFont="1" applyBorder="1" applyAlignment="1">
      <alignment horizontal="center" vertical="center" wrapText="1"/>
    </xf>
    <xf numFmtId="0" fontId="21" fillId="0" borderId="50" xfId="0" applyFont="1" applyBorder="1" applyAlignment="1">
      <alignment horizontal="center" vertical="center" wrapText="1"/>
    </xf>
    <xf numFmtId="8" fontId="20" fillId="0" borderId="50" xfId="0" applyNumberFormat="1" applyFont="1" applyBorder="1" applyAlignment="1">
      <alignment horizontal="center" vertical="center" wrapText="1"/>
    </xf>
    <xf numFmtId="0" fontId="21" fillId="0" borderId="51" xfId="0" applyFont="1" applyBorder="1" applyAlignment="1">
      <alignment horizontal="center" vertical="center" wrapText="1"/>
    </xf>
    <xf numFmtId="8" fontId="20" fillId="0" borderId="51" xfId="0" applyNumberFormat="1" applyFont="1" applyBorder="1" applyAlignment="1">
      <alignment horizontal="center" vertical="center" wrapText="1"/>
    </xf>
    <xf numFmtId="1" fontId="27" fillId="2" borderId="0" xfId="0" applyNumberFormat="1" applyFont="1" applyFill="1" applyAlignment="1" applyProtection="1">
      <alignment horizontal="left"/>
      <protection hidden="1"/>
    </xf>
    <xf numFmtId="165" fontId="28" fillId="2" borderId="0" xfId="0" applyNumberFormat="1" applyFont="1" applyFill="1" applyAlignment="1" applyProtection="1">
      <alignment horizontal="left"/>
      <protection hidden="1"/>
    </xf>
    <xf numFmtId="3" fontId="28" fillId="2" borderId="0" xfId="0" applyNumberFormat="1" applyFont="1" applyFill="1" applyAlignment="1" applyProtection="1">
      <alignment horizontal="left"/>
      <protection hidden="1"/>
    </xf>
    <xf numFmtId="0" fontId="0" fillId="0" borderId="14" xfId="0" applyBorder="1" applyAlignment="1">
      <alignment horizontal="left" vertical="center"/>
    </xf>
    <xf numFmtId="0" fontId="13" fillId="0" borderId="0" xfId="0" applyFont="1" applyAlignment="1">
      <alignment horizontal="center"/>
    </xf>
    <xf numFmtId="0" fontId="32" fillId="0" borderId="0" xfId="0" applyFont="1"/>
    <xf numFmtId="0" fontId="20" fillId="7" borderId="39" xfId="0" applyFont="1" applyFill="1" applyBorder="1"/>
    <xf numFmtId="0" fontId="21" fillId="0" borderId="42" xfId="0" applyFont="1" applyBorder="1" applyAlignment="1">
      <alignment horizontal="center"/>
    </xf>
    <xf numFmtId="0" fontId="20" fillId="0" borderId="6" xfId="0" applyFont="1" applyBorder="1" applyAlignment="1">
      <alignment horizontal="center"/>
    </xf>
    <xf numFmtId="0" fontId="20" fillId="0" borderId="43" xfId="0" applyFont="1" applyBorder="1" applyAlignment="1">
      <alignment horizontal="center"/>
    </xf>
    <xf numFmtId="0" fontId="20" fillId="0" borderId="42" xfId="0" applyFont="1" applyBorder="1" applyAlignment="1">
      <alignment horizontal="center"/>
    </xf>
    <xf numFmtId="0" fontId="20" fillId="0" borderId="29" xfId="0" applyFont="1" applyBorder="1" applyAlignment="1">
      <alignment horizontal="center"/>
    </xf>
    <xf numFmtId="0" fontId="20" fillId="0" borderId="26" xfId="0" applyFont="1" applyBorder="1" applyAlignment="1">
      <alignment horizontal="center"/>
    </xf>
    <xf numFmtId="0" fontId="20" fillId="0" borderId="30" xfId="0" applyFont="1" applyBorder="1" applyAlignment="1">
      <alignment horizontal="center"/>
    </xf>
    <xf numFmtId="0" fontId="20" fillId="0" borderId="44" xfId="0" applyFont="1" applyBorder="1" applyAlignment="1">
      <alignment horizontal="center"/>
    </xf>
    <xf numFmtId="0" fontId="20" fillId="0" borderId="2" xfId="0" applyFont="1" applyBorder="1" applyAlignment="1">
      <alignment horizontal="center"/>
    </xf>
    <xf numFmtId="0" fontId="20" fillId="0" borderId="27" xfId="0" applyFont="1" applyBorder="1" applyAlignment="1">
      <alignment horizontal="center"/>
    </xf>
    <xf numFmtId="0" fontId="20" fillId="0" borderId="31" xfId="0" applyFont="1" applyBorder="1" applyAlignment="1">
      <alignment horizontal="center"/>
    </xf>
    <xf numFmtId="0" fontId="20" fillId="0" borderId="45" xfId="0" applyFont="1" applyBorder="1" applyAlignment="1">
      <alignment horizontal="center"/>
    </xf>
    <xf numFmtId="0" fontId="20" fillId="0" borderId="37" xfId="0" applyFont="1" applyBorder="1" applyAlignment="1">
      <alignment horizontal="center"/>
    </xf>
    <xf numFmtId="0" fontId="20" fillId="0" borderId="38" xfId="0" applyFont="1" applyBorder="1" applyAlignment="1">
      <alignment horizontal="center"/>
    </xf>
    <xf numFmtId="0" fontId="20" fillId="0" borderId="36" xfId="0" applyFont="1" applyBorder="1" applyAlignment="1">
      <alignment horizontal="center"/>
    </xf>
    <xf numFmtId="0" fontId="20" fillId="0" borderId="46" xfId="0" applyFont="1" applyBorder="1" applyAlignment="1">
      <alignment horizontal="center"/>
    </xf>
    <xf numFmtId="0" fontId="20" fillId="0" borderId="35" xfId="0" applyFont="1" applyBorder="1" applyAlignment="1">
      <alignment horizontal="center"/>
    </xf>
    <xf numFmtId="0" fontId="20" fillId="0" borderId="32" xfId="0" applyFont="1" applyBorder="1" applyAlignment="1">
      <alignment horizontal="center"/>
    </xf>
    <xf numFmtId="0" fontId="20" fillId="0" borderId="34" xfId="0" applyFont="1" applyBorder="1" applyAlignment="1">
      <alignment horizontal="center"/>
    </xf>
    <xf numFmtId="0" fontId="20" fillId="0" borderId="47" xfId="0" applyFont="1" applyBorder="1" applyAlignment="1">
      <alignment horizontal="center"/>
    </xf>
    <xf numFmtId="0" fontId="20" fillId="0" borderId="19" xfId="0" applyFont="1" applyBorder="1" applyAlignment="1">
      <alignment horizontal="center"/>
    </xf>
    <xf numFmtId="0" fontId="20" fillId="0" borderId="28" xfId="0" applyFont="1" applyBorder="1" applyAlignment="1">
      <alignment horizontal="center"/>
    </xf>
    <xf numFmtId="0" fontId="20" fillId="0" borderId="33" xfId="0" applyFont="1" applyBorder="1" applyAlignment="1">
      <alignment horizontal="center"/>
    </xf>
    <xf numFmtId="0" fontId="9" fillId="4" borderId="12" xfId="0" applyFont="1" applyFill="1" applyBorder="1" applyProtection="1">
      <protection locked="0"/>
    </xf>
    <xf numFmtId="3" fontId="9" fillId="4" borderId="12" xfId="0" applyNumberFormat="1" applyFont="1" applyFill="1" applyBorder="1" applyAlignment="1" applyProtection="1">
      <alignment horizontal="right"/>
      <protection locked="0"/>
    </xf>
    <xf numFmtId="3" fontId="9" fillId="4" borderId="6" xfId="0" applyNumberFormat="1" applyFont="1" applyFill="1" applyBorder="1" applyAlignment="1" applyProtection="1">
      <alignment horizontal="right"/>
      <protection locked="0"/>
    </xf>
    <xf numFmtId="1" fontId="27" fillId="0" borderId="0" xfId="0" applyNumberFormat="1" applyFont="1" applyProtection="1">
      <protection hidden="1"/>
    </xf>
    <xf numFmtId="165" fontId="28" fillId="0" borderId="0" xfId="0" applyNumberFormat="1" applyFont="1" applyProtection="1">
      <protection hidden="1"/>
    </xf>
    <xf numFmtId="3" fontId="28" fillId="0" borderId="0" xfId="0" applyNumberFormat="1" applyFont="1" applyProtection="1">
      <protection hidden="1"/>
    </xf>
    <xf numFmtId="0" fontId="9" fillId="0" borderId="12" xfId="0" applyFont="1" applyBorder="1" applyProtection="1">
      <protection locked="0"/>
    </xf>
    <xf numFmtId="1" fontId="14" fillId="0" borderId="12" xfId="0" applyNumberFormat="1" applyFont="1" applyBorder="1" applyProtection="1">
      <protection locked="0"/>
    </xf>
    <xf numFmtId="3" fontId="9" fillId="0" borderId="12" xfId="0" applyNumberFormat="1" applyFont="1" applyBorder="1" applyAlignment="1" applyProtection="1">
      <alignment horizontal="right"/>
      <protection locked="0"/>
    </xf>
    <xf numFmtId="3" fontId="9" fillId="0" borderId="6" xfId="0" applyNumberFormat="1" applyFont="1" applyBorder="1" applyAlignment="1" applyProtection="1">
      <alignment horizontal="right"/>
      <protection locked="0"/>
    </xf>
    <xf numFmtId="3" fontId="3" fillId="0" borderId="12" xfId="0" applyNumberFormat="1" applyFont="1" applyBorder="1" applyAlignment="1">
      <alignment horizontal="right"/>
    </xf>
    <xf numFmtId="166" fontId="0" fillId="6" borderId="12" xfId="0" applyNumberFormat="1" applyFill="1" applyBorder="1" applyAlignment="1">
      <alignment horizontal="right"/>
    </xf>
    <xf numFmtId="167" fontId="0" fillId="0" borderId="12" xfId="0" applyNumberFormat="1" applyBorder="1" applyAlignment="1">
      <alignment horizontal="right"/>
    </xf>
    <xf numFmtId="0" fontId="20" fillId="7" borderId="1" xfId="0" applyFont="1" applyFill="1" applyBorder="1"/>
    <xf numFmtId="0" fontId="26" fillId="7" borderId="14" xfId="0" applyFont="1" applyFill="1" applyBorder="1"/>
    <xf numFmtId="0" fontId="38" fillId="7" borderId="14" xfId="0" applyFont="1" applyFill="1" applyBorder="1"/>
    <xf numFmtId="0" fontId="38" fillId="7" borderId="2" xfId="0" applyFont="1" applyFill="1" applyBorder="1"/>
    <xf numFmtId="0" fontId="20" fillId="0" borderId="17" xfId="0" applyFont="1" applyBorder="1"/>
    <xf numFmtId="164" fontId="36" fillId="0" borderId="0" xfId="1" applyNumberFormat="1" applyBorder="1"/>
    <xf numFmtId="0" fontId="20" fillId="0" borderId="18" xfId="0" applyFont="1" applyBorder="1"/>
    <xf numFmtId="0" fontId="21" fillId="0" borderId="18" xfId="0" applyFont="1" applyBorder="1"/>
    <xf numFmtId="0" fontId="22" fillId="0" borderId="0" xfId="0" applyFont="1"/>
    <xf numFmtId="0" fontId="23" fillId="0" borderId="17" xfId="0" applyFont="1" applyBorder="1"/>
    <xf numFmtId="10" fontId="20" fillId="0" borderId="18" xfId="0" applyNumberFormat="1" applyFont="1" applyBorder="1"/>
    <xf numFmtId="164" fontId="23" fillId="0" borderId="0" xfId="0" applyNumberFormat="1" applyFont="1"/>
    <xf numFmtId="0" fontId="33" fillId="0" borderId="17" xfId="0" applyFont="1" applyBorder="1"/>
    <xf numFmtId="0" fontId="37" fillId="7" borderId="17" xfId="0" applyFont="1" applyFill="1" applyBorder="1" applyAlignment="1">
      <alignment horizontal="right"/>
    </xf>
    <xf numFmtId="164" fontId="26" fillId="7" borderId="0" xfId="0" applyNumberFormat="1" applyFont="1" applyFill="1"/>
    <xf numFmtId="0" fontId="38" fillId="7" borderId="0" xfId="0" applyFont="1" applyFill="1"/>
    <xf numFmtId="10" fontId="26" fillId="7" borderId="18" xfId="0" applyNumberFormat="1" applyFont="1" applyFill="1" applyBorder="1"/>
    <xf numFmtId="0" fontId="21" fillId="0" borderId="17" xfId="0" applyFont="1" applyBorder="1" applyAlignment="1">
      <alignment horizontal="right"/>
    </xf>
    <xf numFmtId="168" fontId="21" fillId="0" borderId="0" xfId="0" applyNumberFormat="1" applyFont="1"/>
    <xf numFmtId="168" fontId="21" fillId="3" borderId="0" xfId="0" applyNumberFormat="1" applyFont="1" applyFill="1"/>
    <xf numFmtId="168" fontId="21" fillId="0" borderId="18" xfId="0" applyNumberFormat="1" applyFont="1" applyBorder="1"/>
    <xf numFmtId="0" fontId="22" fillId="0" borderId="5" xfId="0" applyFont="1" applyBorder="1" applyAlignment="1">
      <alignment horizontal="right"/>
    </xf>
    <xf numFmtId="8" fontId="20" fillId="0" borderId="12" xfId="0" applyNumberFormat="1" applyFont="1" applyBorder="1"/>
    <xf numFmtId="8" fontId="20" fillId="0" borderId="19" xfId="0" applyNumberFormat="1" applyFont="1" applyBorder="1"/>
    <xf numFmtId="0" fontId="33" fillId="0" borderId="0" xfId="0" applyFont="1" applyAlignment="1">
      <alignment horizontal="right"/>
    </xf>
    <xf numFmtId="0" fontId="39" fillId="4" borderId="0" xfId="0" applyFont="1" applyFill="1"/>
    <xf numFmtId="10" fontId="39" fillId="4" borderId="0" xfId="0" applyNumberFormat="1" applyFont="1" applyFill="1"/>
    <xf numFmtId="0" fontId="39" fillId="0" borderId="0" xfId="0" applyFont="1"/>
    <xf numFmtId="0" fontId="39" fillId="0" borderId="17" xfId="0" applyFont="1" applyBorder="1"/>
    <xf numFmtId="164" fontId="39" fillId="0" borderId="0" xfId="0" applyNumberFormat="1" applyFont="1"/>
    <xf numFmtId="164" fontId="22" fillId="0" borderId="0" xfId="0" applyNumberFormat="1" applyFont="1" applyAlignment="1">
      <alignment horizontal="left"/>
    </xf>
    <xf numFmtId="0" fontId="20" fillId="0" borderId="0" xfId="0" applyFont="1" applyAlignment="1">
      <alignment horizontal="left"/>
    </xf>
    <xf numFmtId="164" fontId="40" fillId="0" borderId="0" xfId="0" applyNumberFormat="1" applyFont="1" applyAlignment="1">
      <alignment horizontal="left"/>
    </xf>
    <xf numFmtId="0" fontId="21" fillId="0" borderId="0" xfId="0" applyFont="1" applyAlignment="1">
      <alignment horizontal="left"/>
    </xf>
    <xf numFmtId="0" fontId="34" fillId="0" borderId="0" xfId="0" applyFont="1" applyAlignment="1">
      <alignment horizontal="left"/>
    </xf>
    <xf numFmtId="0" fontId="21" fillId="3" borderId="0" xfId="0" applyFont="1" applyFill="1"/>
    <xf numFmtId="164" fontId="20" fillId="3" borderId="0" xfId="0" applyNumberFormat="1" applyFont="1" applyFill="1"/>
    <xf numFmtId="10" fontId="0" fillId="0" borderId="0" xfId="2" applyNumberFormat="1" applyFont="1"/>
    <xf numFmtId="14" fontId="35" fillId="0" borderId="0" xfId="0" applyNumberFormat="1" applyFont="1"/>
    <xf numFmtId="0" fontId="34" fillId="3" borderId="0" xfId="0" applyFont="1" applyFill="1"/>
    <xf numFmtId="0" fontId="21" fillId="0" borderId="0" xfId="0" applyFont="1" applyAlignment="1">
      <alignment horizontal="left" vertical="center" wrapText="1"/>
    </xf>
    <xf numFmtId="0" fontId="20" fillId="0" borderId="0" xfId="0" applyFont="1" applyAlignment="1">
      <alignment horizontal="left" vertical="center" wrapText="1"/>
    </xf>
    <xf numFmtId="0" fontId="22"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25" fillId="0" borderId="0" xfId="0" applyFont="1" applyAlignment="1">
      <alignment horizontal="left" vertical="center" wrapText="1"/>
    </xf>
    <xf numFmtId="0" fontId="35" fillId="0" borderId="0" xfId="0" applyFont="1" applyAlignment="1">
      <alignment horizontal="left" vertical="center" wrapText="1"/>
    </xf>
    <xf numFmtId="0" fontId="39" fillId="0" borderId="0" xfId="0" applyFont="1" applyAlignment="1">
      <alignment horizontal="left" vertical="center" wrapText="1"/>
    </xf>
    <xf numFmtId="3" fontId="21" fillId="2" borderId="25" xfId="0" applyNumberFormat="1" applyFont="1" applyFill="1" applyBorder="1" applyAlignment="1" applyProtection="1">
      <alignment horizontal="center"/>
      <protection hidden="1"/>
    </xf>
    <xf numFmtId="3" fontId="21" fillId="2" borderId="24" xfId="0" applyNumberFormat="1" applyFont="1" applyFill="1" applyBorder="1" applyAlignment="1" applyProtection="1">
      <alignment horizontal="center"/>
      <protection hidden="1"/>
    </xf>
    <xf numFmtId="1" fontId="21" fillId="2" borderId="8" xfId="0" applyNumberFormat="1" applyFont="1" applyFill="1" applyBorder="1" applyAlignment="1" applyProtection="1">
      <alignment horizontal="center" vertical="center"/>
      <protection hidden="1"/>
    </xf>
    <xf numFmtId="1" fontId="21" fillId="2" borderId="15" xfId="0" applyNumberFormat="1" applyFont="1" applyFill="1" applyBorder="1" applyAlignment="1" applyProtection="1">
      <alignment horizontal="center" vertical="center"/>
      <protection hidden="1"/>
    </xf>
    <xf numFmtId="3" fontId="21" fillId="2" borderId="22" xfId="0" applyNumberFormat="1" applyFont="1" applyFill="1" applyBorder="1" applyAlignment="1" applyProtection="1">
      <alignment horizontal="center"/>
      <protection hidden="1"/>
    </xf>
    <xf numFmtId="3" fontId="24" fillId="0" borderId="12" xfId="0" applyNumberFormat="1" applyFont="1" applyBorder="1" applyAlignment="1" applyProtection="1">
      <alignment horizontal="left"/>
      <protection locked="0"/>
    </xf>
    <xf numFmtId="0" fontId="16" fillId="0" borderId="14" xfId="0" applyFont="1" applyBorder="1"/>
    <xf numFmtId="0" fontId="16" fillId="0" borderId="2" xfId="0" applyFont="1" applyBorder="1"/>
    <xf numFmtId="0" fontId="8" fillId="4" borderId="6" xfId="0" applyFont="1" applyFill="1" applyBorder="1" applyAlignment="1" applyProtection="1">
      <alignment horizontal="left"/>
      <protection locked="0"/>
    </xf>
    <xf numFmtId="0" fontId="9" fillId="4" borderId="6" xfId="0" applyFont="1" applyFill="1" applyBorder="1" applyAlignment="1" applyProtection="1">
      <alignment horizontal="left"/>
      <protection locked="0"/>
    </xf>
    <xf numFmtId="0" fontId="9" fillId="4" borderId="12" xfId="0" applyFont="1" applyFill="1" applyBorder="1" applyAlignment="1" applyProtection="1">
      <alignment horizontal="left"/>
      <protection locked="0"/>
    </xf>
    <xf numFmtId="0" fontId="8" fillId="4" borderId="12" xfId="0" applyFont="1" applyFill="1" applyBorder="1" applyAlignment="1" applyProtection="1">
      <alignment horizontal="left"/>
      <protection locked="0"/>
    </xf>
    <xf numFmtId="0" fontId="24" fillId="4" borderId="6" xfId="0" applyFont="1" applyFill="1" applyBorder="1" applyAlignment="1" applyProtection="1">
      <alignment horizontal="left"/>
      <protection locked="0"/>
    </xf>
    <xf numFmtId="0" fontId="8" fillId="4" borderId="0" xfId="0" applyFont="1" applyFill="1" applyAlignment="1" applyProtection="1">
      <alignment horizontal="left"/>
      <protection locked="0"/>
    </xf>
    <xf numFmtId="0" fontId="16" fillId="0" borderId="0" xfId="0" applyFont="1"/>
    <xf numFmtId="0" fontId="17" fillId="0" borderId="0" xfId="0" applyFont="1"/>
    <xf numFmtId="0" fontId="17" fillId="0" borderId="18" xfId="0" applyFont="1" applyBorder="1"/>
    <xf numFmtId="0" fontId="15" fillId="0" borderId="0" xfId="0" applyFont="1" applyAlignment="1">
      <alignment horizontal="left"/>
    </xf>
    <xf numFmtId="0" fontId="15" fillId="0" borderId="18" xfId="0" applyFont="1" applyBorder="1" applyAlignment="1">
      <alignment horizontal="left"/>
    </xf>
    <xf numFmtId="0" fontId="0" fillId="0" borderId="0" xfId="0" applyAlignment="1">
      <alignment horizontal="right"/>
    </xf>
    <xf numFmtId="0" fontId="8" fillId="4" borderId="12" xfId="0" applyFont="1" applyFill="1" applyBorder="1" applyProtection="1">
      <protection locked="0"/>
    </xf>
    <xf numFmtId="0" fontId="8" fillId="4" borderId="0" xfId="0" applyFont="1" applyFill="1" applyProtection="1">
      <protection locked="0"/>
    </xf>
    <xf numFmtId="0" fontId="9" fillId="0" borderId="12" xfId="0" applyFont="1" applyBorder="1" applyAlignment="1" applyProtection="1">
      <alignment horizontal="left"/>
      <protection locked="0"/>
    </xf>
    <xf numFmtId="0" fontId="9" fillId="0" borderId="6" xfId="0" applyFont="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0" xfId="0" applyFont="1" applyAlignment="1" applyProtection="1">
      <alignment horizontal="left"/>
      <protection locked="0"/>
    </xf>
    <xf numFmtId="0" fontId="8" fillId="0" borderId="12" xfId="0" applyFont="1" applyBorder="1" applyProtection="1">
      <protection locked="0"/>
    </xf>
    <xf numFmtId="0" fontId="8" fillId="0" borderId="0" xfId="0" applyFont="1" applyProtection="1">
      <protection locked="0"/>
    </xf>
    <xf numFmtId="0" fontId="24" fillId="0" borderId="6" xfId="0" applyFont="1" applyBorder="1" applyAlignment="1" applyProtection="1">
      <alignment horizontal="left"/>
      <protection locked="0"/>
    </xf>
    <xf numFmtId="3" fontId="3" fillId="0" borderId="12" xfId="0" applyNumberFormat="1" applyFont="1" applyBorder="1" applyAlignment="1" applyProtection="1">
      <alignment horizontal="right"/>
      <protection locked="0"/>
    </xf>
    <xf numFmtId="0" fontId="3" fillId="0" borderId="12" xfId="0" applyFont="1" applyBorder="1" applyProtection="1">
      <protection locked="0"/>
    </xf>
    <xf numFmtId="164" fontId="31" fillId="0" borderId="0" xfId="0" applyNumberFormat="1" applyFont="1" applyFill="1" applyAlignment="1" applyProtection="1">
      <alignment horizontal="center" vertical="center"/>
      <protection locked="0" hidden="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67235</xdr:colOff>
      <xdr:row>36</xdr:row>
      <xdr:rowOff>49695</xdr:rowOff>
    </xdr:from>
    <xdr:to>
      <xdr:col>6</xdr:col>
      <xdr:colOff>717177</xdr:colOff>
      <xdr:row>50</xdr:row>
      <xdr:rowOff>157369</xdr:rowOff>
    </xdr:to>
    <xdr:sp macro="" textlink="">
      <xdr:nvSpPr>
        <xdr:cNvPr id="2" name="TextBox 1">
          <a:extLst>
            <a:ext uri="{FF2B5EF4-FFF2-40B4-BE49-F238E27FC236}">
              <a16:creationId xmlns:a16="http://schemas.microsoft.com/office/drawing/2014/main" id="{A8622ACA-D8AF-4FEE-BFAA-88EC511FB5E8}"/>
            </a:ext>
          </a:extLst>
        </xdr:cNvPr>
        <xdr:cNvSpPr txBox="1"/>
      </xdr:nvSpPr>
      <xdr:spPr>
        <a:xfrm>
          <a:off x="840441" y="7266283"/>
          <a:ext cx="4515971" cy="2774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Certificate 1 </a:t>
          </a:r>
          <a:r>
            <a:rPr lang="en-US" sz="900" b="0"/>
            <a:t>-- Intended for alternate route pastors </a:t>
          </a:r>
          <a:r>
            <a:rPr lang="en-US" sz="900" b="0" i="1" u="sng"/>
            <a:t>without</a:t>
          </a:r>
          <a:r>
            <a:rPr lang="en-US" sz="900" b="0"/>
            <a:t> an existing college degree. </a:t>
          </a:r>
        </a:p>
        <a:p>
          <a:endParaRPr lang="en-US" sz="500" b="0">
            <a:solidFill>
              <a:schemeClr val="dk1"/>
            </a:solidFill>
            <a:effectLst/>
            <a:latin typeface="+mn-lt"/>
            <a:ea typeface="+mn-ea"/>
            <a:cs typeface="+mn-cs"/>
          </a:endParaRPr>
        </a:p>
        <a:p>
          <a:r>
            <a:rPr lang="en-US" sz="900" b="0">
              <a:solidFill>
                <a:schemeClr val="dk1"/>
              </a:solidFill>
              <a:effectLst/>
              <a:latin typeface="+mn-lt"/>
              <a:ea typeface="+mn-ea"/>
              <a:cs typeface="+mn-cs"/>
            </a:rPr>
            <a:t>     Routes often</a:t>
          </a:r>
          <a:r>
            <a:rPr lang="en-US" sz="900" b="0" baseline="0">
              <a:solidFill>
                <a:schemeClr val="dk1"/>
              </a:solidFill>
              <a:effectLst/>
              <a:latin typeface="+mn-lt"/>
              <a:ea typeface="+mn-ea"/>
              <a:cs typeface="+mn-cs"/>
            </a:rPr>
            <a:t> include:</a:t>
          </a:r>
          <a:endParaRPr lang="en-US" sz="900" b="0">
            <a:effectLst/>
          </a:endParaRPr>
        </a:p>
        <a:p>
          <a:r>
            <a:rPr lang="en-US" sz="900" b="0" baseline="0">
              <a:solidFill>
                <a:schemeClr val="dk1"/>
              </a:solidFill>
              <a:effectLst/>
              <a:latin typeface="+mn-lt"/>
              <a:ea typeface="+mn-ea"/>
              <a:cs typeface="+mn-cs"/>
            </a:rPr>
            <a:t>          Specific Ministry Pastor (SMP)	Ethnic Immigrant Institute of Theology (EIIT)</a:t>
          </a:r>
          <a:endParaRPr lang="en-US" sz="900" b="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b="0" baseline="0">
              <a:solidFill>
                <a:schemeClr val="dk1"/>
              </a:solidFill>
              <a:effectLst/>
              <a:latin typeface="+mn-lt"/>
              <a:ea typeface="+mn-ea"/>
              <a:cs typeface="+mn-cs"/>
            </a:rPr>
            <a:t>          Deaf Institute of Theology (DIT)	Center for Hispanic Studies (CHS)</a:t>
          </a:r>
          <a:endParaRPr lang="en-US" sz="900">
            <a:effectLst/>
          </a:endParaRPr>
        </a:p>
        <a:p>
          <a:endParaRPr lang="en-US" sz="500" b="0"/>
        </a:p>
        <a:p>
          <a:r>
            <a:rPr lang="en-US" sz="900" b="1"/>
            <a:t>BA (Non-Roster Eligible) </a:t>
          </a:r>
          <a:r>
            <a:rPr lang="en-US" sz="900" b="0"/>
            <a:t>-- Bachelor of Arts</a:t>
          </a:r>
          <a:endParaRPr lang="en-US" sz="900" b="0">
            <a:effectLst/>
          </a:endParaRPr>
        </a:p>
        <a:p>
          <a:endParaRPr lang="en-US" sz="500" b="0"/>
        </a:p>
        <a:p>
          <a:r>
            <a:rPr lang="en-US" sz="900" b="1"/>
            <a:t>BA (Rostered) </a:t>
          </a:r>
          <a:r>
            <a:rPr lang="en-US" sz="900" b="0"/>
            <a:t>-- Bachelor of Arts or colloquy from a Synodical institution</a:t>
          </a:r>
        </a:p>
        <a:p>
          <a:pPr marL="0" marR="0" lvl="0" indent="0" defTabSz="914400" eaLnBrk="1" fontAlgn="auto" latinLnBrk="0" hangingPunct="1">
            <a:lnSpc>
              <a:spcPct val="100000"/>
            </a:lnSpc>
            <a:spcBef>
              <a:spcPts val="0"/>
            </a:spcBef>
            <a:spcAft>
              <a:spcPts val="0"/>
            </a:spcAft>
            <a:buClrTx/>
            <a:buSzTx/>
            <a:buFontTx/>
            <a:buNone/>
            <a:tabLst/>
            <a:defRPr/>
          </a:pPr>
          <a:endParaRPr lang="en-US" sz="5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Certificate 2 </a:t>
          </a:r>
          <a:r>
            <a:rPr lang="en-US" sz="900" b="0">
              <a:solidFill>
                <a:schemeClr val="dk1"/>
              </a:solidFill>
              <a:effectLst/>
              <a:latin typeface="+mn-lt"/>
              <a:ea typeface="+mn-ea"/>
              <a:cs typeface="+mn-cs"/>
            </a:rPr>
            <a:t>-- Intended for any of the alternate route</a:t>
          </a:r>
          <a:r>
            <a:rPr lang="en-US" sz="900" b="0" baseline="0">
              <a:solidFill>
                <a:schemeClr val="dk1"/>
              </a:solidFill>
              <a:effectLst/>
              <a:latin typeface="+mn-lt"/>
              <a:ea typeface="+mn-ea"/>
              <a:cs typeface="+mn-cs"/>
            </a:rPr>
            <a:t> pastors listed above </a:t>
          </a:r>
          <a:r>
            <a:rPr lang="en-US" sz="900" b="0" i="1" u="sng" baseline="0">
              <a:solidFill>
                <a:schemeClr val="dk1"/>
              </a:solidFill>
              <a:effectLst/>
              <a:latin typeface="+mn-lt"/>
              <a:ea typeface="+mn-ea"/>
              <a:cs typeface="+mn-cs"/>
            </a:rPr>
            <a:t>with</a:t>
          </a:r>
          <a:r>
            <a:rPr lang="en-US" sz="900" b="0" baseline="0">
              <a:solidFill>
                <a:schemeClr val="dk1"/>
              </a:solidFill>
              <a:effectLst/>
              <a:latin typeface="+mn-lt"/>
              <a:ea typeface="+mn-ea"/>
              <a:cs typeface="+mn-cs"/>
            </a:rPr>
            <a:t> an existing college degree.</a:t>
          </a:r>
          <a:endParaRPr lang="en-US" sz="900" b="0">
            <a:effectLst/>
          </a:endParaRPr>
        </a:p>
        <a:p>
          <a:endParaRPr lang="en-US" sz="500" b="0"/>
        </a:p>
        <a:p>
          <a:r>
            <a:rPr lang="en-US" sz="900" b="1"/>
            <a:t>MA/MS</a:t>
          </a:r>
          <a:r>
            <a:rPr lang="en-US" sz="900" b="0"/>
            <a:t> -- Master</a:t>
          </a:r>
          <a:r>
            <a:rPr lang="en-US" sz="900" b="0" baseline="0"/>
            <a:t> of Arts or Master of Science</a:t>
          </a:r>
        </a:p>
        <a:p>
          <a:endParaRPr lang="en-US" sz="500" b="0"/>
        </a:p>
        <a:p>
          <a:r>
            <a:rPr lang="en-US" sz="900" b="1"/>
            <a:t>MDiv/EdD</a:t>
          </a:r>
          <a:r>
            <a:rPr lang="en-US" sz="900" b="0"/>
            <a:t> -- Master of Divinity or Doctor of Education</a:t>
          </a:r>
        </a:p>
        <a:p>
          <a:endParaRPr lang="en-US" sz="500" b="0"/>
        </a:p>
        <a:p>
          <a:r>
            <a:rPr lang="en-US" sz="900" b="1"/>
            <a:t>STM/DMin</a:t>
          </a:r>
          <a:r>
            <a:rPr lang="en-US" sz="900" b="0"/>
            <a:t> -- Master of Sacred Theology or Doctor of Ministry</a:t>
          </a:r>
        </a:p>
        <a:p>
          <a:endParaRPr lang="en-US" sz="500" b="0"/>
        </a:p>
        <a:p>
          <a:r>
            <a:rPr lang="en-US" sz="900" b="1"/>
            <a:t>PhD/ThD</a:t>
          </a:r>
          <a:r>
            <a:rPr lang="en-US" sz="900" b="0"/>
            <a:t> -- Doctor of Philosophy or Doctor of Theology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ske\Downloads\OnLineCalculatorNov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Options"/>
      <sheetName val="Grid"/>
    </sheetNames>
    <sheetDataSet>
      <sheetData sheetId="0"/>
      <sheetData sheetId="1">
        <row r="11">
          <cell r="A11" t="str">
            <v>If Using Option B, Choose Area Here</v>
          </cell>
        </row>
        <row r="37">
          <cell r="A37" t="str">
            <v>Choose Answer</v>
          </cell>
        </row>
        <row r="38">
          <cell r="A38" t="str">
            <v>Yes</v>
          </cell>
        </row>
        <row r="39">
          <cell r="A39" t="str">
            <v>No</v>
          </cell>
        </row>
      </sheetData>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alary.com/tools/salary-calculator/public-school-teacher/milwaukee-wi?type=base&amp;edu=EDLEV4&amp;yrs=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84D2-87FA-4E68-BCF7-22EC8EB9A4AF}">
  <sheetPr codeName="Sheet2">
    <tabColor theme="9" tint="0.39997558519241921"/>
    <pageSetUpPr fitToPage="1"/>
  </sheetPr>
  <dimension ref="A1:N40"/>
  <sheetViews>
    <sheetView tabSelected="1" topLeftCell="B7" zoomScale="220" zoomScaleNormal="220" workbookViewId="0">
      <selection activeCell="B10" sqref="B10:I10"/>
    </sheetView>
  </sheetViews>
  <sheetFormatPr defaultColWidth="15.7109375" defaultRowHeight="15" customHeight="1" x14ac:dyDescent="0.25"/>
  <cols>
    <col min="1" max="1" width="2.7109375" style="38" customWidth="1"/>
    <col min="2" max="8" width="14.28515625" style="38" customWidth="1"/>
    <col min="9" max="9" width="2.7109375" style="38" customWidth="1"/>
    <col min="10" max="10" width="33.140625" style="38" hidden="1" customWidth="1"/>
    <col min="11" max="16384" width="15.7109375" style="38"/>
  </cols>
  <sheetData>
    <row r="1" spans="1:14" customFormat="1" ht="30" customHeight="1" x14ac:dyDescent="0.4">
      <c r="A1" s="141" t="s">
        <v>156</v>
      </c>
      <c r="B1" s="142"/>
      <c r="C1" s="143"/>
      <c r="D1" s="142"/>
      <c r="E1" s="143"/>
      <c r="F1" s="142"/>
      <c r="G1" s="143"/>
      <c r="H1" s="142"/>
      <c r="I1" s="143"/>
      <c r="J1" s="102"/>
      <c r="K1" s="103"/>
      <c r="L1" s="102"/>
      <c r="M1" s="103"/>
      <c r="N1" s="107"/>
    </row>
    <row r="2" spans="1:14" customFormat="1" ht="9.9499999999999993" customHeight="1" x14ac:dyDescent="0.4">
      <c r="A2" s="141"/>
      <c r="B2" s="142"/>
      <c r="C2" s="143"/>
      <c r="D2" s="142"/>
      <c r="E2" s="143"/>
      <c r="F2" s="142"/>
      <c r="G2" s="143"/>
      <c r="H2" s="142"/>
      <c r="I2" s="143"/>
      <c r="J2" s="102"/>
      <c r="K2" s="103"/>
      <c r="L2" s="102"/>
      <c r="M2" s="103"/>
      <c r="N2" s="107"/>
    </row>
    <row r="3" spans="1:14" customFormat="1" ht="9.9499999999999993" customHeight="1" x14ac:dyDescent="0.25"/>
    <row r="4" spans="1:14" ht="15" customHeight="1" x14ac:dyDescent="0.25">
      <c r="A4" s="224" t="s">
        <v>141</v>
      </c>
      <c r="B4" s="224"/>
      <c r="C4" s="224"/>
      <c r="D4" s="224"/>
      <c r="E4" s="224"/>
      <c r="F4" s="224"/>
      <c r="G4" s="224"/>
      <c r="H4" s="224"/>
      <c r="I4" s="224"/>
      <c r="J4" s="112"/>
    </row>
    <row r="5" spans="1:14" ht="9.9499999999999993" customHeight="1" x14ac:dyDescent="0.25">
      <c r="A5" s="39"/>
      <c r="B5" s="39"/>
      <c r="C5" s="39"/>
      <c r="D5" s="39"/>
      <c r="E5" s="39"/>
      <c r="F5" s="39"/>
      <c r="G5" s="39"/>
      <c r="H5" s="39"/>
      <c r="I5" s="39"/>
      <c r="J5" s="39"/>
    </row>
    <row r="6" spans="1:14" ht="39.75" customHeight="1" x14ac:dyDescent="0.25">
      <c r="A6" s="40"/>
      <c r="B6" s="228" t="s">
        <v>204</v>
      </c>
      <c r="C6" s="229"/>
      <c r="D6" s="229"/>
      <c r="E6" s="229"/>
      <c r="F6" s="229"/>
      <c r="G6" s="229"/>
      <c r="H6" s="229"/>
      <c r="I6" s="229"/>
      <c r="J6" s="113"/>
    </row>
    <row r="7" spans="1:14" ht="9.9499999999999993" customHeight="1" x14ac:dyDescent="0.25">
      <c r="A7" s="39"/>
      <c r="B7" s="40"/>
      <c r="C7" s="40"/>
      <c r="D7" s="40"/>
      <c r="E7" s="40"/>
      <c r="F7" s="40"/>
      <c r="G7" s="40"/>
      <c r="H7" s="40"/>
      <c r="I7" s="40"/>
      <c r="J7" s="40"/>
    </row>
    <row r="8" spans="1:14" ht="30" customHeight="1" x14ac:dyDescent="0.25">
      <c r="A8" s="40"/>
      <c r="B8" s="225" t="s">
        <v>196</v>
      </c>
      <c r="C8" s="225"/>
      <c r="D8" s="225"/>
      <c r="E8" s="225"/>
      <c r="F8" s="225"/>
      <c r="G8" s="225"/>
      <c r="H8" s="225"/>
      <c r="I8" s="225"/>
      <c r="J8" s="113"/>
    </row>
    <row r="9" spans="1:14" ht="9.9499999999999993" customHeight="1" x14ac:dyDescent="0.25">
      <c r="A9" s="40"/>
      <c r="B9" s="39"/>
      <c r="C9" s="40"/>
      <c r="D9" s="40"/>
      <c r="E9" s="39"/>
      <c r="F9" s="39"/>
      <c r="G9" s="39"/>
      <c r="H9" s="39"/>
      <c r="I9" s="39"/>
      <c r="J9" s="39"/>
    </row>
    <row r="10" spans="1:14" ht="45" customHeight="1" x14ac:dyDescent="0.25">
      <c r="A10" s="40"/>
      <c r="B10" s="225" t="s">
        <v>142</v>
      </c>
      <c r="C10" s="225"/>
      <c r="D10" s="225"/>
      <c r="E10" s="225"/>
      <c r="F10" s="225"/>
      <c r="G10" s="225"/>
      <c r="H10" s="225"/>
      <c r="I10" s="225"/>
      <c r="J10" s="113"/>
    </row>
    <row r="11" spans="1:14" ht="9.9499999999999993" customHeight="1" x14ac:dyDescent="0.25">
      <c r="A11" s="39"/>
      <c r="B11" s="39"/>
      <c r="C11" s="39"/>
      <c r="D11" s="39"/>
      <c r="E11" s="39"/>
      <c r="F11" s="39"/>
      <c r="G11" s="39"/>
      <c r="H11" s="39"/>
      <c r="I11" s="39"/>
      <c r="J11" s="39"/>
    </row>
    <row r="12" spans="1:14" ht="30" customHeight="1" x14ac:dyDescent="0.25">
      <c r="A12" s="230" t="s">
        <v>195</v>
      </c>
      <c r="B12" s="230"/>
      <c r="C12" s="230"/>
      <c r="D12" s="230"/>
      <c r="E12" s="230"/>
      <c r="F12" s="230"/>
      <c r="G12" s="230"/>
      <c r="H12" s="230"/>
      <c r="I12" s="230"/>
      <c r="J12" s="112"/>
    </row>
    <row r="13" spans="1:14" ht="9.9499999999999993" customHeight="1" x14ac:dyDescent="0.25">
      <c r="A13" s="39"/>
      <c r="B13" s="39"/>
      <c r="C13" s="39"/>
      <c r="D13" s="39"/>
      <c r="E13" s="39"/>
      <c r="F13" s="39"/>
      <c r="G13" s="39"/>
      <c r="H13" s="39"/>
      <c r="I13" s="39"/>
      <c r="J13" s="39"/>
    </row>
    <row r="14" spans="1:14" ht="60" customHeight="1" x14ac:dyDescent="0.25">
      <c r="A14" s="224" t="s">
        <v>157</v>
      </c>
      <c r="B14" s="224"/>
      <c r="C14" s="224"/>
      <c r="D14" s="224"/>
      <c r="E14" s="224"/>
      <c r="F14" s="224"/>
      <c r="G14" s="224"/>
      <c r="H14" s="224"/>
      <c r="I14" s="224"/>
      <c r="J14" s="112"/>
    </row>
    <row r="15" spans="1:14" ht="9.9499999999999993" customHeight="1" x14ac:dyDescent="0.25">
      <c r="A15" s="40"/>
      <c r="B15" s="40"/>
      <c r="C15" s="40"/>
      <c r="D15" s="40"/>
      <c r="E15" s="40"/>
      <c r="F15" s="40"/>
      <c r="G15" s="40"/>
      <c r="H15" s="40"/>
      <c r="I15" s="40"/>
      <c r="J15" s="40"/>
    </row>
    <row r="16" spans="1:14" ht="60" customHeight="1" x14ac:dyDescent="0.25">
      <c r="A16" s="224" t="s">
        <v>167</v>
      </c>
      <c r="B16" s="224"/>
      <c r="C16" s="224"/>
      <c r="D16" s="224"/>
      <c r="E16" s="224"/>
      <c r="F16" s="224"/>
      <c r="G16" s="224"/>
      <c r="H16" s="224"/>
      <c r="I16" s="224"/>
      <c r="J16" s="112"/>
    </row>
    <row r="17" spans="1:10" ht="9.9499999999999993" customHeight="1" x14ac:dyDescent="0.25">
      <c r="A17" s="40"/>
      <c r="B17" s="40"/>
      <c r="C17" s="40"/>
      <c r="D17" s="40"/>
      <c r="E17" s="40"/>
      <c r="F17" s="40"/>
      <c r="G17" s="40"/>
      <c r="H17" s="40"/>
      <c r="I17" s="40"/>
      <c r="J17" s="40"/>
    </row>
    <row r="18" spans="1:10" ht="30" customHeight="1" x14ac:dyDescent="0.25">
      <c r="A18" s="225" t="s">
        <v>176</v>
      </c>
      <c r="B18" s="225"/>
      <c r="C18" s="225"/>
      <c r="D18" s="225"/>
      <c r="E18" s="225"/>
      <c r="F18" s="225"/>
      <c r="G18" s="225"/>
      <c r="H18" s="225"/>
      <c r="I18" s="225"/>
      <c r="J18" s="113"/>
    </row>
    <row r="20" spans="1:10" ht="9.9499999999999993" customHeight="1" x14ac:dyDescent="0.25">
      <c r="A20" s="144"/>
      <c r="B20" s="144"/>
      <c r="C20" s="144"/>
      <c r="D20" s="144"/>
      <c r="E20" s="144"/>
      <c r="F20" s="144"/>
      <c r="G20" s="144"/>
      <c r="H20" s="144"/>
      <c r="I20" s="144"/>
      <c r="J20"/>
    </row>
    <row r="21" spans="1:10" ht="45" customHeight="1" x14ac:dyDescent="0.25">
      <c r="A21" s="225" t="s">
        <v>149</v>
      </c>
      <c r="B21" s="225"/>
      <c r="C21" s="225"/>
      <c r="D21" s="225"/>
      <c r="E21" s="225"/>
      <c r="F21" s="225"/>
      <c r="G21" s="225"/>
      <c r="H21" s="225"/>
      <c r="I21" s="225"/>
      <c r="J21"/>
    </row>
    <row r="22" spans="1:10" ht="15" customHeight="1" thickBot="1" x14ac:dyDescent="0.3">
      <c r="B22"/>
      <c r="C22"/>
      <c r="D22"/>
      <c r="E22"/>
      <c r="F22"/>
      <c r="G22"/>
      <c r="H22"/>
      <c r="I22"/>
      <c r="J22"/>
    </row>
    <row r="23" spans="1:10" ht="57.75" thickBot="1" x14ac:dyDescent="0.3">
      <c r="B23" s="130" t="s">
        <v>135</v>
      </c>
      <c r="C23" s="130" t="s">
        <v>136</v>
      </c>
      <c r="D23" s="227" t="s">
        <v>138</v>
      </c>
      <c r="E23" s="227"/>
      <c r="F23" s="227"/>
      <c r="G23" s="130" t="s">
        <v>148</v>
      </c>
      <c r="H23" s="130" t="s">
        <v>137</v>
      </c>
      <c r="I23" s="34"/>
      <c r="J23" s="36"/>
    </row>
    <row r="24" spans="1:10" ht="15" customHeight="1" thickBot="1" x14ac:dyDescent="0.3">
      <c r="B24" s="130"/>
      <c r="C24" s="226" t="s">
        <v>162</v>
      </c>
      <c r="D24" s="226"/>
      <c r="E24" s="131" t="s">
        <v>163</v>
      </c>
      <c r="F24" s="226" t="s">
        <v>164</v>
      </c>
      <c r="G24" s="226"/>
      <c r="H24" s="226"/>
      <c r="I24" s="35"/>
      <c r="J24"/>
    </row>
    <row r="25" spans="1:10" ht="15" customHeight="1" x14ac:dyDescent="0.25">
      <c r="B25" s="135">
        <v>0</v>
      </c>
      <c r="C25" s="136">
        <f>$H$25*0.6</f>
        <v>13.532971153846152</v>
      </c>
      <c r="D25" s="136">
        <f>$H$25*0.65</f>
        <v>14.660718749999999</v>
      </c>
      <c r="E25" s="136">
        <f>$H$25*0.7</f>
        <v>15.788466346153843</v>
      </c>
      <c r="F25" s="136">
        <f>$H$25*0.8</f>
        <v>18.043961538461538</v>
      </c>
      <c r="G25" s="136">
        <f>$H$25*0.9</f>
        <v>20.299456730769229</v>
      </c>
      <c r="H25" s="136">
        <f>'Base Salary Table'!E6/52/40</f>
        <v>22.554951923076921</v>
      </c>
      <c r="I25" s="35"/>
      <c r="J25" s="100" t="s">
        <v>139</v>
      </c>
    </row>
    <row r="26" spans="1:10" ht="15" customHeight="1" x14ac:dyDescent="0.25">
      <c r="B26" s="137">
        <v>1</v>
      </c>
      <c r="C26" s="138">
        <f>$C$25*J26</f>
        <v>13.668300865384614</v>
      </c>
      <c r="D26" s="138">
        <f t="shared" ref="D26:D35" si="0">$D$25*J26</f>
        <v>14.8073259375</v>
      </c>
      <c r="E26" s="138">
        <f t="shared" ref="E26:E35" si="1">$E$25*J26</f>
        <v>15.946351009615382</v>
      </c>
      <c r="F26" s="138">
        <f t="shared" ref="F26:F40" si="2">$F$25*J26</f>
        <v>18.224401153846152</v>
      </c>
      <c r="G26" s="138">
        <f t="shared" ref="G26:G40" si="3">$G$25*J26</f>
        <v>20.50245129807692</v>
      </c>
      <c r="H26" s="138">
        <f t="shared" ref="H26:H40" si="4">$H$25*J26</f>
        <v>22.780501442307688</v>
      </c>
      <c r="I26" s="37"/>
      <c r="J26" s="33">
        <v>1.01</v>
      </c>
    </row>
    <row r="27" spans="1:10" ht="15" customHeight="1" x14ac:dyDescent="0.25">
      <c r="B27" s="137">
        <v>2</v>
      </c>
      <c r="C27" s="138">
        <f>$C$25*J27</f>
        <v>13.803630576923075</v>
      </c>
      <c r="D27" s="138">
        <f t="shared" si="0"/>
        <v>14.953933124999999</v>
      </c>
      <c r="E27" s="138">
        <f t="shared" si="1"/>
        <v>16.104235673076921</v>
      </c>
      <c r="F27" s="138">
        <f t="shared" si="2"/>
        <v>18.40484076923077</v>
      </c>
      <c r="G27" s="138">
        <f t="shared" si="3"/>
        <v>20.705445865384615</v>
      </c>
      <c r="H27" s="138">
        <f t="shared" si="4"/>
        <v>23.00605096153846</v>
      </c>
      <c r="I27" s="37"/>
      <c r="J27" s="33">
        <f>J26+0.01</f>
        <v>1.02</v>
      </c>
    </row>
    <row r="28" spans="1:10" ht="15" customHeight="1" x14ac:dyDescent="0.25">
      <c r="B28" s="137">
        <v>3</v>
      </c>
      <c r="C28" s="138">
        <f>$C$25*J28</f>
        <v>13.938960288461537</v>
      </c>
      <c r="D28" s="138">
        <f t="shared" si="0"/>
        <v>15.1005403125</v>
      </c>
      <c r="E28" s="138">
        <f t="shared" si="1"/>
        <v>16.262120336538459</v>
      </c>
      <c r="F28" s="138">
        <f t="shared" si="2"/>
        <v>18.585280384615384</v>
      </c>
      <c r="G28" s="138">
        <f t="shared" si="3"/>
        <v>20.908440432692306</v>
      </c>
      <c r="H28" s="138">
        <f t="shared" si="4"/>
        <v>23.231600480769227</v>
      </c>
      <c r="I28" s="37"/>
      <c r="J28" s="33">
        <f>J27+0.01</f>
        <v>1.03</v>
      </c>
    </row>
    <row r="29" spans="1:10" ht="15" customHeight="1" x14ac:dyDescent="0.25">
      <c r="B29" s="137">
        <v>4</v>
      </c>
      <c r="C29" s="138">
        <f>$C$25*J29</f>
        <v>14.074289999999998</v>
      </c>
      <c r="D29" s="138">
        <f t="shared" si="0"/>
        <v>15.247147499999999</v>
      </c>
      <c r="E29" s="138">
        <f t="shared" si="1"/>
        <v>16.420004999999996</v>
      </c>
      <c r="F29" s="138">
        <f t="shared" si="2"/>
        <v>18.765720000000002</v>
      </c>
      <c r="G29" s="138">
        <f t="shared" si="3"/>
        <v>21.111435</v>
      </c>
      <c r="H29" s="138">
        <f t="shared" si="4"/>
        <v>23.457149999999999</v>
      </c>
      <c r="I29" s="37"/>
      <c r="J29" s="33">
        <f t="shared" ref="J29:J39" si="5">J28+0.01</f>
        <v>1.04</v>
      </c>
    </row>
    <row r="30" spans="1:10" ht="15" customHeight="1" thickBot="1" x14ac:dyDescent="0.3">
      <c r="B30" s="139">
        <v>5</v>
      </c>
      <c r="C30" s="140">
        <f>$C$25*J30</f>
        <v>14.20961971153846</v>
      </c>
      <c r="D30" s="140">
        <f t="shared" si="0"/>
        <v>15.3937546875</v>
      </c>
      <c r="E30" s="140">
        <f t="shared" si="1"/>
        <v>16.577889663461537</v>
      </c>
      <c r="F30" s="140">
        <f t="shared" si="2"/>
        <v>18.946159615384616</v>
      </c>
      <c r="G30" s="140">
        <f t="shared" si="3"/>
        <v>21.314429567307691</v>
      </c>
      <c r="H30" s="140">
        <f t="shared" si="4"/>
        <v>23.682699519230766</v>
      </c>
      <c r="I30" s="37"/>
      <c r="J30" s="33">
        <f t="shared" si="5"/>
        <v>1.05</v>
      </c>
    </row>
    <row r="31" spans="1:10" ht="15" customHeight="1" x14ac:dyDescent="0.25">
      <c r="B31" s="137">
        <v>6</v>
      </c>
      <c r="C31" s="133"/>
      <c r="D31" s="138">
        <f t="shared" si="0"/>
        <v>15.540361875</v>
      </c>
      <c r="E31" s="138">
        <f t="shared" si="1"/>
        <v>16.735774326923075</v>
      </c>
      <c r="F31" s="138">
        <f t="shared" si="2"/>
        <v>19.12659923076923</v>
      </c>
      <c r="G31" s="138">
        <f t="shared" si="3"/>
        <v>21.517424134615386</v>
      </c>
      <c r="H31" s="138">
        <f t="shared" si="4"/>
        <v>23.908249038461538</v>
      </c>
      <c r="I31" s="37"/>
      <c r="J31" s="33">
        <f t="shared" si="5"/>
        <v>1.06</v>
      </c>
    </row>
    <row r="32" spans="1:10" ht="15" customHeight="1" x14ac:dyDescent="0.25">
      <c r="B32" s="137">
        <v>7</v>
      </c>
      <c r="C32" s="133"/>
      <c r="D32" s="138">
        <f t="shared" si="0"/>
        <v>15.686969062499999</v>
      </c>
      <c r="E32" s="138">
        <f t="shared" si="1"/>
        <v>16.893658990384612</v>
      </c>
      <c r="F32" s="138">
        <f t="shared" si="2"/>
        <v>19.307038846153848</v>
      </c>
      <c r="G32" s="138">
        <f t="shared" si="3"/>
        <v>21.720418701923077</v>
      </c>
      <c r="H32" s="138">
        <f t="shared" si="4"/>
        <v>24.133798557692305</v>
      </c>
      <c r="I32" s="37"/>
      <c r="J32" s="33">
        <f t="shared" si="5"/>
        <v>1.07</v>
      </c>
    </row>
    <row r="33" spans="2:10" ht="15" customHeight="1" x14ac:dyDescent="0.25">
      <c r="B33" s="137">
        <v>8</v>
      </c>
      <c r="C33" s="133"/>
      <c r="D33" s="138">
        <f t="shared" si="0"/>
        <v>15.83357625</v>
      </c>
      <c r="E33" s="138">
        <f t="shared" si="1"/>
        <v>17.051543653846153</v>
      </c>
      <c r="F33" s="138">
        <f t="shared" si="2"/>
        <v>19.487478461538462</v>
      </c>
      <c r="G33" s="138">
        <f t="shared" si="3"/>
        <v>21.923413269230767</v>
      </c>
      <c r="H33" s="138">
        <f t="shared" si="4"/>
        <v>24.359348076923077</v>
      </c>
      <c r="I33" s="37"/>
      <c r="J33" s="33">
        <f t="shared" si="5"/>
        <v>1.08</v>
      </c>
    </row>
    <row r="34" spans="2:10" ht="15" customHeight="1" x14ac:dyDescent="0.25">
      <c r="B34" s="137">
        <v>9</v>
      </c>
      <c r="C34" s="133"/>
      <c r="D34" s="138">
        <f t="shared" si="0"/>
        <v>15.980183437500001</v>
      </c>
      <c r="E34" s="138">
        <f t="shared" si="1"/>
        <v>17.20942831730769</v>
      </c>
      <c r="F34" s="138">
        <f t="shared" si="2"/>
        <v>19.667918076923076</v>
      </c>
      <c r="G34" s="138">
        <f t="shared" si="3"/>
        <v>22.126407836538462</v>
      </c>
      <c r="H34" s="138">
        <f t="shared" si="4"/>
        <v>24.584897596153844</v>
      </c>
      <c r="I34" s="37"/>
      <c r="J34" s="33">
        <f t="shared" si="5"/>
        <v>1.0900000000000001</v>
      </c>
    </row>
    <row r="35" spans="2:10" ht="15" customHeight="1" thickBot="1" x14ac:dyDescent="0.3">
      <c r="B35" s="137">
        <v>10</v>
      </c>
      <c r="C35" s="133"/>
      <c r="D35" s="138">
        <f t="shared" si="0"/>
        <v>16.126790625000002</v>
      </c>
      <c r="E35" s="138">
        <f t="shared" si="1"/>
        <v>17.367312980769228</v>
      </c>
      <c r="F35" s="138">
        <f t="shared" si="2"/>
        <v>19.848357692307694</v>
      </c>
      <c r="G35" s="138">
        <f t="shared" si="3"/>
        <v>22.329402403846153</v>
      </c>
      <c r="H35" s="138">
        <f t="shared" si="4"/>
        <v>24.810447115384616</v>
      </c>
      <c r="I35" s="37"/>
      <c r="J35" s="33">
        <f t="shared" si="5"/>
        <v>1.1000000000000001</v>
      </c>
    </row>
    <row r="36" spans="2:10" ht="15" customHeight="1" x14ac:dyDescent="0.25">
      <c r="B36" s="135">
        <v>11</v>
      </c>
      <c r="C36" s="132"/>
      <c r="D36" s="132"/>
      <c r="E36" s="132"/>
      <c r="F36" s="136">
        <f t="shared" si="2"/>
        <v>20.028797307692308</v>
      </c>
      <c r="G36" s="136">
        <f t="shared" si="3"/>
        <v>22.532396971153847</v>
      </c>
      <c r="H36" s="136">
        <f t="shared" si="4"/>
        <v>25.035996634615383</v>
      </c>
      <c r="I36" s="37"/>
      <c r="J36" s="33">
        <f t="shared" si="5"/>
        <v>1.1100000000000001</v>
      </c>
    </row>
    <row r="37" spans="2:10" ht="15" customHeight="1" x14ac:dyDescent="0.25">
      <c r="B37" s="137">
        <v>12</v>
      </c>
      <c r="C37" s="133"/>
      <c r="D37" s="133"/>
      <c r="E37" s="133"/>
      <c r="F37" s="138">
        <f t="shared" si="2"/>
        <v>20.209236923076926</v>
      </c>
      <c r="G37" s="138">
        <f t="shared" si="3"/>
        <v>22.735391538461538</v>
      </c>
      <c r="H37" s="138">
        <f t="shared" si="4"/>
        <v>25.261546153846155</v>
      </c>
      <c r="I37" s="37"/>
      <c r="J37" s="33">
        <f t="shared" si="5"/>
        <v>1.1200000000000001</v>
      </c>
    </row>
    <row r="38" spans="2:10" ht="15" customHeight="1" x14ac:dyDescent="0.25">
      <c r="B38" s="137">
        <v>13</v>
      </c>
      <c r="C38" s="133"/>
      <c r="D38" s="133"/>
      <c r="E38" s="133"/>
      <c r="F38" s="138">
        <f t="shared" si="2"/>
        <v>20.38967653846154</v>
      </c>
      <c r="G38" s="138">
        <f t="shared" si="3"/>
        <v>22.938386105769233</v>
      </c>
      <c r="H38" s="138">
        <f t="shared" si="4"/>
        <v>25.487095673076922</v>
      </c>
      <c r="I38" s="37"/>
      <c r="J38" s="33">
        <f t="shared" si="5"/>
        <v>1.1300000000000001</v>
      </c>
    </row>
    <row r="39" spans="2:10" ht="15" customHeight="1" x14ac:dyDescent="0.25">
      <c r="B39" s="137">
        <v>14</v>
      </c>
      <c r="C39" s="133"/>
      <c r="D39" s="133"/>
      <c r="E39" s="133"/>
      <c r="F39" s="138">
        <f t="shared" si="2"/>
        <v>20.570116153846154</v>
      </c>
      <c r="G39" s="138">
        <f t="shared" si="3"/>
        <v>23.141380673076924</v>
      </c>
      <c r="H39" s="138">
        <f t="shared" si="4"/>
        <v>25.712645192307694</v>
      </c>
      <c r="I39" s="37"/>
      <c r="J39" s="33">
        <f t="shared" si="5"/>
        <v>1.1400000000000001</v>
      </c>
    </row>
    <row r="40" spans="2:10" ht="15" customHeight="1" thickBot="1" x14ac:dyDescent="0.3">
      <c r="B40" s="139">
        <v>15</v>
      </c>
      <c r="C40" s="134"/>
      <c r="D40" s="134"/>
      <c r="E40" s="134"/>
      <c r="F40" s="140">
        <f t="shared" si="2"/>
        <v>20.750555769230768</v>
      </c>
      <c r="G40" s="140">
        <f t="shared" si="3"/>
        <v>23.344375240384611</v>
      </c>
      <c r="H40" s="140">
        <f t="shared" si="4"/>
        <v>25.938194711538458</v>
      </c>
      <c r="I40" s="37"/>
      <c r="J40" s="33">
        <v>1.1499999999999999</v>
      </c>
    </row>
  </sheetData>
  <sheetProtection algorithmName="SHA-512" hashValue="pcqDkCqt+t+ojbfb+brWFGRaJ93xz9lDF4PS0YQs/3KTPNCyd/kJcLQU92k6EqGKnSYZp4q+HQ7Ah1GgQOclUQ==" saltValue="BBU8bQUj8BdBCN458nb6Rg==" spinCount="100000" sheet="1" objects="1" scenarios="1"/>
  <mergeCells count="12">
    <mergeCell ref="A14:I14"/>
    <mergeCell ref="A4:I4"/>
    <mergeCell ref="B6:I6"/>
    <mergeCell ref="B8:I8"/>
    <mergeCell ref="B10:I10"/>
    <mergeCell ref="A12:I12"/>
    <mergeCell ref="A16:I16"/>
    <mergeCell ref="A18:I18"/>
    <mergeCell ref="A21:I21"/>
    <mergeCell ref="C24:D24"/>
    <mergeCell ref="F24:H24"/>
    <mergeCell ref="D23:F23"/>
  </mergeCells>
  <pageMargins left="0.7" right="0.7" top="0.75" bottom="0.75" header="0.3" footer="0.3"/>
  <pageSetup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C2CE-BBD6-4BD9-8F6C-A279D5BF7A9F}">
  <sheetPr codeName="Sheet1">
    <tabColor theme="9" tint="0.79998168889431442"/>
    <pageSetUpPr fitToPage="1"/>
  </sheetPr>
  <dimension ref="A1:Q51"/>
  <sheetViews>
    <sheetView showGridLines="0" view="pageLayout" zoomScale="85" zoomScaleNormal="70" zoomScalePageLayoutView="85" workbookViewId="0">
      <selection activeCell="L8" sqref="L8:L16"/>
    </sheetView>
  </sheetViews>
  <sheetFormatPr defaultColWidth="10.7109375" defaultRowHeight="15" x14ac:dyDescent="0.25"/>
  <cols>
    <col min="1" max="1" width="10.7109375" style="24" customWidth="1"/>
    <col min="2" max="2" width="10.7109375" style="26" customWidth="1"/>
    <col min="3" max="3" width="10.7109375" style="19" customWidth="1"/>
    <col min="4" max="4" width="10.7109375" style="26" customWidth="1"/>
    <col min="5" max="5" width="10.7109375" style="19" customWidth="1"/>
    <col min="6" max="6" width="10.7109375" style="26" customWidth="1"/>
    <col min="7" max="7" width="10.7109375" style="19" customWidth="1"/>
    <col min="8" max="8" width="10.7109375" style="26" customWidth="1"/>
    <col min="9" max="9" width="10.7109375" style="19" customWidth="1"/>
    <col min="10" max="10" width="10.7109375" style="26" customWidth="1"/>
    <col min="11" max="11" width="10.7109375" style="19" customWidth="1"/>
    <col min="12" max="12" width="10.7109375" style="26" customWidth="1"/>
    <col min="13" max="13" width="10.7109375" style="19" customWidth="1"/>
    <col min="14" max="14" width="10.7109375" style="26" customWidth="1"/>
    <col min="15" max="15" width="10.7109375" style="19" customWidth="1"/>
    <col min="16" max="16" width="10.7109375" style="26" customWidth="1"/>
    <col min="17" max="17" width="10.7109375" style="19" customWidth="1"/>
  </cols>
  <sheetData>
    <row r="1" spans="1:17" ht="26.25" x14ac:dyDescent="0.4">
      <c r="A1" s="101" t="s">
        <v>115</v>
      </c>
      <c r="B1" s="102"/>
      <c r="C1" s="103"/>
      <c r="D1" s="102"/>
      <c r="E1" s="103"/>
      <c r="F1" s="102"/>
      <c r="G1" s="103"/>
      <c r="H1" s="102"/>
      <c r="I1" s="103"/>
      <c r="J1" s="102"/>
      <c r="K1" s="103"/>
      <c r="L1" s="102"/>
      <c r="M1" s="103"/>
      <c r="N1" s="107"/>
      <c r="O1" s="108"/>
      <c r="P1" s="102"/>
      <c r="Q1" s="109" t="s">
        <v>140</v>
      </c>
    </row>
    <row r="2" spans="1:17" ht="26.25" x14ac:dyDescent="0.4">
      <c r="A2" s="101" t="s">
        <v>197</v>
      </c>
      <c r="B2" s="102"/>
      <c r="C2" s="103"/>
      <c r="D2" s="102"/>
      <c r="E2" s="103"/>
      <c r="F2" s="102"/>
      <c r="G2" s="103"/>
      <c r="H2" s="102"/>
      <c r="I2" s="103"/>
      <c r="J2" s="102"/>
      <c r="K2" s="103"/>
      <c r="L2" s="110"/>
      <c r="M2" s="111"/>
      <c r="N2" s="111"/>
      <c r="O2" s="111"/>
      <c r="P2" s="262">
        <v>52127</v>
      </c>
      <c r="Q2" s="262"/>
    </row>
    <row r="3" spans="1:17" ht="19.5" thickBot="1" x14ac:dyDescent="0.35">
      <c r="A3" s="2"/>
      <c r="B3" s="25"/>
      <c r="C3" s="1"/>
      <c r="D3" s="25"/>
      <c r="E3" s="1"/>
      <c r="F3" s="25"/>
      <c r="G3" s="1"/>
      <c r="H3" s="25"/>
      <c r="I3" s="1"/>
      <c r="J3" s="25"/>
      <c r="K3" s="1"/>
      <c r="L3" s="25"/>
      <c r="M3" s="1"/>
      <c r="N3" s="25"/>
      <c r="O3" s="1"/>
      <c r="P3" s="25"/>
      <c r="Q3" s="1"/>
    </row>
    <row r="4" spans="1:17" x14ac:dyDescent="0.25">
      <c r="A4" s="233" t="s">
        <v>2</v>
      </c>
      <c r="B4" s="231" t="s">
        <v>113</v>
      </c>
      <c r="C4" s="232"/>
      <c r="D4" s="231" t="s">
        <v>160</v>
      </c>
      <c r="E4" s="232"/>
      <c r="F4" s="231" t="s">
        <v>116</v>
      </c>
      <c r="G4" s="232"/>
      <c r="H4" s="231" t="s">
        <v>112</v>
      </c>
      <c r="I4" s="232"/>
      <c r="J4" s="231" t="s">
        <v>170</v>
      </c>
      <c r="K4" s="232"/>
      <c r="L4" s="231" t="s">
        <v>154</v>
      </c>
      <c r="M4" s="232"/>
      <c r="N4" s="231" t="s">
        <v>155</v>
      </c>
      <c r="O4" s="232"/>
      <c r="P4" s="231" t="s">
        <v>153</v>
      </c>
      <c r="Q4" s="235"/>
    </row>
    <row r="5" spans="1:17" ht="15.75" thickBot="1" x14ac:dyDescent="0.3">
      <c r="A5" s="234"/>
      <c r="B5" s="54" t="s">
        <v>3</v>
      </c>
      <c r="C5" s="55" t="s">
        <v>117</v>
      </c>
      <c r="D5" s="54" t="s">
        <v>3</v>
      </c>
      <c r="E5" s="55" t="s">
        <v>117</v>
      </c>
      <c r="F5" s="54" t="s">
        <v>3</v>
      </c>
      <c r="G5" s="55" t="s">
        <v>117</v>
      </c>
      <c r="H5" s="54" t="s">
        <v>3</v>
      </c>
      <c r="I5" s="55" t="s">
        <v>117</v>
      </c>
      <c r="J5" s="54" t="s">
        <v>3</v>
      </c>
      <c r="K5" s="55" t="s">
        <v>117</v>
      </c>
      <c r="L5" s="54" t="s">
        <v>3</v>
      </c>
      <c r="M5" s="55" t="s">
        <v>117</v>
      </c>
      <c r="N5" s="54" t="s">
        <v>3</v>
      </c>
      <c r="O5" s="55" t="s">
        <v>117</v>
      </c>
      <c r="P5" s="54" t="s">
        <v>3</v>
      </c>
      <c r="Q5" s="55" t="s">
        <v>117</v>
      </c>
    </row>
    <row r="6" spans="1:17" x14ac:dyDescent="0.25">
      <c r="A6" s="56">
        <v>0</v>
      </c>
      <c r="B6" s="57">
        <v>90</v>
      </c>
      <c r="C6" s="58">
        <f>0.01*$P$2*B6</f>
        <v>46914.299999999996</v>
      </c>
      <c r="D6" s="59">
        <v>90</v>
      </c>
      <c r="E6" s="60">
        <f t="shared" ref="E6:E16" si="0">0.01*$P$2*D6</f>
        <v>46914.299999999996</v>
      </c>
      <c r="F6" s="61">
        <v>100</v>
      </c>
      <c r="G6" s="58">
        <f>0.01*$P$2*F6</f>
        <v>52127</v>
      </c>
      <c r="H6" s="59">
        <v>105</v>
      </c>
      <c r="I6" s="60">
        <f t="shared" ref="I6:I51" si="1">0.01*$P$2*H6</f>
        <v>54733.35</v>
      </c>
      <c r="J6" s="61">
        <v>110</v>
      </c>
      <c r="K6" s="58">
        <f t="shared" ref="K6:K51" si="2">0.01*$P$2*J6</f>
        <v>57339.7</v>
      </c>
      <c r="L6" s="62">
        <v>125</v>
      </c>
      <c r="M6" s="60">
        <f t="shared" ref="M6:M51" si="3">0.01*$P$2*L6</f>
        <v>65158.75</v>
      </c>
      <c r="N6" s="61">
        <v>130</v>
      </c>
      <c r="O6" s="58">
        <f t="shared" ref="O6:O51" si="4">0.01*$P$2*N6</f>
        <v>67765.099999999991</v>
      </c>
      <c r="P6" s="62">
        <v>135</v>
      </c>
      <c r="Q6" s="63">
        <f t="shared" ref="Q6:Q51" si="5">0.01*$P$2*P6</f>
        <v>70371.45</v>
      </c>
    </row>
    <row r="7" spans="1:17" x14ac:dyDescent="0.25">
      <c r="A7" s="56">
        <v>1</v>
      </c>
      <c r="B7" s="59">
        <v>94</v>
      </c>
      <c r="C7" s="58">
        <f t="shared" ref="C7:C36" si="6">0.01*$P$2*B7</f>
        <v>48999.38</v>
      </c>
      <c r="D7" s="59">
        <f>D6+4</f>
        <v>94</v>
      </c>
      <c r="E7" s="60">
        <f t="shared" si="0"/>
        <v>48999.38</v>
      </c>
      <c r="F7" s="61">
        <v>104</v>
      </c>
      <c r="G7" s="58">
        <f t="shared" ref="G7:G31" si="7">0.01*$P$2*F7</f>
        <v>54212.08</v>
      </c>
      <c r="H7" s="59">
        <f t="shared" ref="H7:H16" si="8">H6+4</f>
        <v>109</v>
      </c>
      <c r="I7" s="60">
        <f t="shared" si="1"/>
        <v>56818.43</v>
      </c>
      <c r="J7" s="61">
        <v>114</v>
      </c>
      <c r="K7" s="58">
        <f t="shared" si="2"/>
        <v>59424.78</v>
      </c>
      <c r="L7" s="62">
        <v>129</v>
      </c>
      <c r="M7" s="60">
        <f t="shared" si="3"/>
        <v>67243.83</v>
      </c>
      <c r="N7" s="61">
        <v>134</v>
      </c>
      <c r="O7" s="58">
        <f t="shared" si="4"/>
        <v>69850.179999999993</v>
      </c>
      <c r="P7" s="62">
        <v>139</v>
      </c>
      <c r="Q7" s="63">
        <f t="shared" si="5"/>
        <v>72456.53</v>
      </c>
    </row>
    <row r="8" spans="1:17" x14ac:dyDescent="0.25">
      <c r="A8" s="56">
        <v>2</v>
      </c>
      <c r="B8" s="59">
        <v>98</v>
      </c>
      <c r="C8" s="58">
        <f t="shared" si="6"/>
        <v>51084.46</v>
      </c>
      <c r="D8" s="59">
        <f>D7+4</f>
        <v>98</v>
      </c>
      <c r="E8" s="60">
        <f t="shared" si="0"/>
        <v>51084.46</v>
      </c>
      <c r="F8" s="61">
        <v>108</v>
      </c>
      <c r="G8" s="58">
        <f t="shared" si="7"/>
        <v>56297.159999999996</v>
      </c>
      <c r="H8" s="59">
        <f t="shared" si="8"/>
        <v>113</v>
      </c>
      <c r="I8" s="60">
        <f t="shared" si="1"/>
        <v>58903.509999999995</v>
      </c>
      <c r="J8" s="61">
        <v>118</v>
      </c>
      <c r="K8" s="58">
        <f t="shared" si="2"/>
        <v>61509.86</v>
      </c>
      <c r="L8" s="62">
        <v>133</v>
      </c>
      <c r="M8" s="60">
        <f t="shared" si="3"/>
        <v>69328.91</v>
      </c>
      <c r="N8" s="61">
        <v>138</v>
      </c>
      <c r="O8" s="58">
        <f t="shared" si="4"/>
        <v>71935.259999999995</v>
      </c>
      <c r="P8" s="62">
        <v>143</v>
      </c>
      <c r="Q8" s="63">
        <f t="shared" si="5"/>
        <v>74541.61</v>
      </c>
    </row>
    <row r="9" spans="1:17" x14ac:dyDescent="0.25">
      <c r="A9" s="56">
        <v>3</v>
      </c>
      <c r="B9" s="59">
        <v>102</v>
      </c>
      <c r="C9" s="58">
        <f t="shared" si="6"/>
        <v>53169.54</v>
      </c>
      <c r="D9" s="59">
        <f>D8+4</f>
        <v>102</v>
      </c>
      <c r="E9" s="60">
        <f t="shared" si="0"/>
        <v>53169.54</v>
      </c>
      <c r="F9" s="61">
        <v>112</v>
      </c>
      <c r="G9" s="58">
        <f t="shared" si="7"/>
        <v>58382.239999999998</v>
      </c>
      <c r="H9" s="59">
        <f t="shared" si="8"/>
        <v>117</v>
      </c>
      <c r="I9" s="60">
        <f t="shared" si="1"/>
        <v>60988.59</v>
      </c>
      <c r="J9" s="61">
        <v>122</v>
      </c>
      <c r="K9" s="58">
        <f t="shared" si="2"/>
        <v>63594.939999999995</v>
      </c>
      <c r="L9" s="62">
        <v>137</v>
      </c>
      <c r="M9" s="60">
        <f t="shared" si="3"/>
        <v>71413.989999999991</v>
      </c>
      <c r="N9" s="61">
        <v>142</v>
      </c>
      <c r="O9" s="58">
        <f t="shared" si="4"/>
        <v>74020.34</v>
      </c>
      <c r="P9" s="62">
        <v>147</v>
      </c>
      <c r="Q9" s="63">
        <f t="shared" si="5"/>
        <v>76626.69</v>
      </c>
    </row>
    <row r="10" spans="1:17" x14ac:dyDescent="0.25">
      <c r="A10" s="56">
        <v>4</v>
      </c>
      <c r="B10" s="59">
        <v>106</v>
      </c>
      <c r="C10" s="58">
        <f t="shared" si="6"/>
        <v>55254.619999999995</v>
      </c>
      <c r="D10" s="59">
        <f>D9+4</f>
        <v>106</v>
      </c>
      <c r="E10" s="60">
        <f t="shared" si="0"/>
        <v>55254.619999999995</v>
      </c>
      <c r="F10" s="61">
        <v>116</v>
      </c>
      <c r="G10" s="58">
        <f t="shared" si="7"/>
        <v>60467.32</v>
      </c>
      <c r="H10" s="59">
        <f t="shared" si="8"/>
        <v>121</v>
      </c>
      <c r="I10" s="60">
        <f t="shared" si="1"/>
        <v>63073.67</v>
      </c>
      <c r="J10" s="61">
        <v>126</v>
      </c>
      <c r="K10" s="58">
        <f t="shared" si="2"/>
        <v>65680.02</v>
      </c>
      <c r="L10" s="62">
        <v>141</v>
      </c>
      <c r="M10" s="60">
        <f t="shared" si="3"/>
        <v>73499.069999999992</v>
      </c>
      <c r="N10" s="61">
        <v>146</v>
      </c>
      <c r="O10" s="58">
        <f t="shared" si="4"/>
        <v>76105.42</v>
      </c>
      <c r="P10" s="62">
        <v>151</v>
      </c>
      <c r="Q10" s="63">
        <f t="shared" si="5"/>
        <v>78711.77</v>
      </c>
    </row>
    <row r="11" spans="1:17" x14ac:dyDescent="0.25">
      <c r="A11" s="56">
        <v>5</v>
      </c>
      <c r="B11" s="59">
        <v>110</v>
      </c>
      <c r="C11" s="58">
        <f t="shared" si="6"/>
        <v>57339.7</v>
      </c>
      <c r="D11" s="59">
        <f>D10+4</f>
        <v>110</v>
      </c>
      <c r="E11" s="60">
        <f t="shared" si="0"/>
        <v>57339.7</v>
      </c>
      <c r="F11" s="61">
        <v>120</v>
      </c>
      <c r="G11" s="58">
        <f t="shared" si="7"/>
        <v>62552.399999999994</v>
      </c>
      <c r="H11" s="59">
        <f t="shared" si="8"/>
        <v>125</v>
      </c>
      <c r="I11" s="60">
        <f t="shared" si="1"/>
        <v>65158.75</v>
      </c>
      <c r="J11" s="61">
        <v>130</v>
      </c>
      <c r="K11" s="58">
        <f t="shared" si="2"/>
        <v>67765.099999999991</v>
      </c>
      <c r="L11" s="62">
        <v>145</v>
      </c>
      <c r="M11" s="60">
        <f t="shared" si="3"/>
        <v>75584.149999999994</v>
      </c>
      <c r="N11" s="61">
        <v>150</v>
      </c>
      <c r="O11" s="58">
        <f t="shared" si="4"/>
        <v>78190.5</v>
      </c>
      <c r="P11" s="62">
        <v>155</v>
      </c>
      <c r="Q11" s="63">
        <f t="shared" si="5"/>
        <v>80796.849999999991</v>
      </c>
    </row>
    <row r="12" spans="1:17" x14ac:dyDescent="0.25">
      <c r="A12" s="64">
        <v>6</v>
      </c>
      <c r="B12" s="65">
        <v>113</v>
      </c>
      <c r="C12" s="66">
        <f t="shared" si="6"/>
        <v>58903.509999999995</v>
      </c>
      <c r="D12" s="65">
        <f>D11+3</f>
        <v>113</v>
      </c>
      <c r="E12" s="67">
        <f t="shared" si="0"/>
        <v>58903.509999999995</v>
      </c>
      <c r="F12" s="68">
        <v>123</v>
      </c>
      <c r="G12" s="66">
        <f t="shared" si="7"/>
        <v>64116.21</v>
      </c>
      <c r="H12" s="65">
        <f t="shared" si="8"/>
        <v>129</v>
      </c>
      <c r="I12" s="67">
        <f t="shared" si="1"/>
        <v>67243.83</v>
      </c>
      <c r="J12" s="68">
        <v>134</v>
      </c>
      <c r="K12" s="66">
        <f t="shared" si="2"/>
        <v>69850.179999999993</v>
      </c>
      <c r="L12" s="69">
        <v>149</v>
      </c>
      <c r="M12" s="67">
        <f t="shared" si="3"/>
        <v>77669.23</v>
      </c>
      <c r="N12" s="68">
        <v>154</v>
      </c>
      <c r="O12" s="66">
        <f t="shared" si="4"/>
        <v>80275.58</v>
      </c>
      <c r="P12" s="69">
        <v>159</v>
      </c>
      <c r="Q12" s="70">
        <f t="shared" si="5"/>
        <v>82881.929999999993</v>
      </c>
    </row>
    <row r="13" spans="1:17" x14ac:dyDescent="0.25">
      <c r="A13" s="56">
        <v>7</v>
      </c>
      <c r="B13" s="59">
        <v>116</v>
      </c>
      <c r="C13" s="58">
        <f t="shared" si="6"/>
        <v>60467.32</v>
      </c>
      <c r="D13" s="59">
        <f>D12+3</f>
        <v>116</v>
      </c>
      <c r="E13" s="60">
        <f t="shared" si="0"/>
        <v>60467.32</v>
      </c>
      <c r="F13" s="61">
        <v>126</v>
      </c>
      <c r="G13" s="58">
        <f t="shared" si="7"/>
        <v>65680.02</v>
      </c>
      <c r="H13" s="59">
        <f t="shared" si="8"/>
        <v>133</v>
      </c>
      <c r="I13" s="60">
        <f t="shared" si="1"/>
        <v>69328.91</v>
      </c>
      <c r="J13" s="61">
        <v>138</v>
      </c>
      <c r="K13" s="58">
        <f t="shared" si="2"/>
        <v>71935.259999999995</v>
      </c>
      <c r="L13" s="62">
        <v>153</v>
      </c>
      <c r="M13" s="60">
        <f t="shared" si="3"/>
        <v>79754.31</v>
      </c>
      <c r="N13" s="61">
        <v>158</v>
      </c>
      <c r="O13" s="58">
        <f t="shared" si="4"/>
        <v>82360.66</v>
      </c>
      <c r="P13" s="62">
        <v>163</v>
      </c>
      <c r="Q13" s="63">
        <f t="shared" si="5"/>
        <v>84967.01</v>
      </c>
    </row>
    <row r="14" spans="1:17" x14ac:dyDescent="0.25">
      <c r="A14" s="56">
        <v>8</v>
      </c>
      <c r="B14" s="59">
        <v>119</v>
      </c>
      <c r="C14" s="58">
        <f t="shared" si="6"/>
        <v>62031.13</v>
      </c>
      <c r="D14" s="59">
        <f>D13+3</f>
        <v>119</v>
      </c>
      <c r="E14" s="60">
        <f t="shared" si="0"/>
        <v>62031.13</v>
      </c>
      <c r="F14" s="61">
        <v>129</v>
      </c>
      <c r="G14" s="58">
        <f t="shared" si="7"/>
        <v>67243.83</v>
      </c>
      <c r="H14" s="59">
        <f t="shared" si="8"/>
        <v>137</v>
      </c>
      <c r="I14" s="60">
        <f t="shared" si="1"/>
        <v>71413.989999999991</v>
      </c>
      <c r="J14" s="61">
        <v>142</v>
      </c>
      <c r="K14" s="58">
        <f t="shared" si="2"/>
        <v>74020.34</v>
      </c>
      <c r="L14" s="62">
        <v>157</v>
      </c>
      <c r="M14" s="60">
        <f t="shared" si="3"/>
        <v>81839.39</v>
      </c>
      <c r="N14" s="61">
        <v>162</v>
      </c>
      <c r="O14" s="58">
        <f t="shared" si="4"/>
        <v>84445.739999999991</v>
      </c>
      <c r="P14" s="62">
        <v>167</v>
      </c>
      <c r="Q14" s="63">
        <f t="shared" si="5"/>
        <v>87052.09</v>
      </c>
    </row>
    <row r="15" spans="1:17" x14ac:dyDescent="0.25">
      <c r="A15" s="56">
        <v>9</v>
      </c>
      <c r="B15" s="59">
        <v>122</v>
      </c>
      <c r="C15" s="58">
        <f t="shared" si="6"/>
        <v>63594.939999999995</v>
      </c>
      <c r="D15" s="59">
        <f>D14+3</f>
        <v>122</v>
      </c>
      <c r="E15" s="60">
        <f t="shared" si="0"/>
        <v>63594.939999999995</v>
      </c>
      <c r="F15" s="61">
        <v>132</v>
      </c>
      <c r="G15" s="58">
        <f t="shared" si="7"/>
        <v>68807.64</v>
      </c>
      <c r="H15" s="59">
        <f t="shared" si="8"/>
        <v>141</v>
      </c>
      <c r="I15" s="60">
        <f t="shared" si="1"/>
        <v>73499.069999999992</v>
      </c>
      <c r="J15" s="61">
        <v>146</v>
      </c>
      <c r="K15" s="58">
        <f t="shared" si="2"/>
        <v>76105.42</v>
      </c>
      <c r="L15" s="62">
        <v>161</v>
      </c>
      <c r="M15" s="60">
        <f t="shared" si="3"/>
        <v>83924.47</v>
      </c>
      <c r="N15" s="61">
        <v>166</v>
      </c>
      <c r="O15" s="58">
        <f t="shared" si="4"/>
        <v>86530.819999999992</v>
      </c>
      <c r="P15" s="62">
        <v>171</v>
      </c>
      <c r="Q15" s="63">
        <f t="shared" si="5"/>
        <v>89137.17</v>
      </c>
    </row>
    <row r="16" spans="1:17" x14ac:dyDescent="0.25">
      <c r="A16" s="71">
        <v>10</v>
      </c>
      <c r="B16" s="72">
        <v>125</v>
      </c>
      <c r="C16" s="73">
        <f t="shared" si="6"/>
        <v>65158.75</v>
      </c>
      <c r="D16" s="72">
        <f>D15+3</f>
        <v>125</v>
      </c>
      <c r="E16" s="74">
        <f t="shared" si="0"/>
        <v>65158.75</v>
      </c>
      <c r="F16" s="75">
        <v>135</v>
      </c>
      <c r="G16" s="73">
        <f t="shared" si="7"/>
        <v>70371.45</v>
      </c>
      <c r="H16" s="72">
        <f t="shared" si="8"/>
        <v>145</v>
      </c>
      <c r="I16" s="74">
        <f t="shared" si="1"/>
        <v>75584.149999999994</v>
      </c>
      <c r="J16" s="75">
        <v>150</v>
      </c>
      <c r="K16" s="73">
        <f t="shared" si="2"/>
        <v>78190.5</v>
      </c>
      <c r="L16" s="76">
        <v>165</v>
      </c>
      <c r="M16" s="74">
        <f t="shared" si="3"/>
        <v>86009.55</v>
      </c>
      <c r="N16" s="75">
        <v>170</v>
      </c>
      <c r="O16" s="73">
        <f t="shared" si="4"/>
        <v>88615.9</v>
      </c>
      <c r="P16" s="76">
        <v>175</v>
      </c>
      <c r="Q16" s="77">
        <f t="shared" si="5"/>
        <v>91222.25</v>
      </c>
    </row>
    <row r="17" spans="1:17" x14ac:dyDescent="0.25">
      <c r="A17" s="56">
        <v>11</v>
      </c>
      <c r="B17" s="59">
        <v>127</v>
      </c>
      <c r="C17" s="58">
        <f t="shared" si="6"/>
        <v>66201.289999999994</v>
      </c>
      <c r="D17" s="114"/>
      <c r="E17" s="115"/>
      <c r="F17" s="61">
        <v>137</v>
      </c>
      <c r="G17" s="58">
        <f t="shared" si="7"/>
        <v>71413.989999999991</v>
      </c>
      <c r="H17" s="59">
        <f>H16+3</f>
        <v>148</v>
      </c>
      <c r="I17" s="60">
        <f t="shared" si="1"/>
        <v>77147.959999999992</v>
      </c>
      <c r="J17" s="61">
        <v>153</v>
      </c>
      <c r="K17" s="58">
        <f t="shared" si="2"/>
        <v>79754.31</v>
      </c>
      <c r="L17" s="62">
        <v>168</v>
      </c>
      <c r="M17" s="60">
        <f t="shared" si="3"/>
        <v>87573.36</v>
      </c>
      <c r="N17" s="61">
        <v>173</v>
      </c>
      <c r="O17" s="58">
        <f t="shared" si="4"/>
        <v>90179.709999999992</v>
      </c>
      <c r="P17" s="62">
        <v>178</v>
      </c>
      <c r="Q17" s="63">
        <f t="shared" si="5"/>
        <v>92786.06</v>
      </c>
    </row>
    <row r="18" spans="1:17" x14ac:dyDescent="0.25">
      <c r="A18" s="56">
        <v>12</v>
      </c>
      <c r="B18" s="59">
        <v>129</v>
      </c>
      <c r="C18" s="58">
        <f t="shared" si="6"/>
        <v>67243.83</v>
      </c>
      <c r="D18" s="116"/>
      <c r="E18" s="117"/>
      <c r="F18" s="61">
        <v>139</v>
      </c>
      <c r="G18" s="58">
        <f t="shared" si="7"/>
        <v>72456.53</v>
      </c>
      <c r="H18" s="59">
        <f>H17+3</f>
        <v>151</v>
      </c>
      <c r="I18" s="60">
        <f t="shared" si="1"/>
        <v>78711.77</v>
      </c>
      <c r="J18" s="61">
        <v>156</v>
      </c>
      <c r="K18" s="58">
        <f t="shared" si="2"/>
        <v>81318.12</v>
      </c>
      <c r="L18" s="62">
        <v>171</v>
      </c>
      <c r="M18" s="60">
        <f t="shared" si="3"/>
        <v>89137.17</v>
      </c>
      <c r="N18" s="61">
        <v>176</v>
      </c>
      <c r="O18" s="58">
        <f t="shared" si="4"/>
        <v>91743.51999999999</v>
      </c>
      <c r="P18" s="62">
        <v>181</v>
      </c>
      <c r="Q18" s="63">
        <f t="shared" si="5"/>
        <v>94349.87</v>
      </c>
    </row>
    <row r="19" spans="1:17" x14ac:dyDescent="0.25">
      <c r="A19" s="56">
        <v>13</v>
      </c>
      <c r="B19" s="59">
        <v>131</v>
      </c>
      <c r="C19" s="58">
        <f t="shared" si="6"/>
        <v>68286.37</v>
      </c>
      <c r="D19" s="116"/>
      <c r="E19" s="117"/>
      <c r="F19" s="61">
        <v>141</v>
      </c>
      <c r="G19" s="58">
        <f t="shared" si="7"/>
        <v>73499.069999999992</v>
      </c>
      <c r="H19" s="59">
        <f>H18+3</f>
        <v>154</v>
      </c>
      <c r="I19" s="60">
        <f t="shared" si="1"/>
        <v>80275.58</v>
      </c>
      <c r="J19" s="61">
        <v>159</v>
      </c>
      <c r="K19" s="58">
        <f t="shared" si="2"/>
        <v>82881.929999999993</v>
      </c>
      <c r="L19" s="62">
        <v>174</v>
      </c>
      <c r="M19" s="60">
        <f t="shared" si="3"/>
        <v>90700.98</v>
      </c>
      <c r="N19" s="61">
        <v>179</v>
      </c>
      <c r="O19" s="58">
        <f t="shared" si="4"/>
        <v>93307.33</v>
      </c>
      <c r="P19" s="62">
        <v>184</v>
      </c>
      <c r="Q19" s="63">
        <f t="shared" si="5"/>
        <v>95913.68</v>
      </c>
    </row>
    <row r="20" spans="1:17" x14ac:dyDescent="0.25">
      <c r="A20" s="56">
        <v>14</v>
      </c>
      <c r="B20" s="59">
        <v>133</v>
      </c>
      <c r="C20" s="58">
        <f t="shared" si="6"/>
        <v>69328.91</v>
      </c>
      <c r="D20" s="116"/>
      <c r="E20" s="117"/>
      <c r="F20" s="61">
        <v>143</v>
      </c>
      <c r="G20" s="58">
        <f t="shared" si="7"/>
        <v>74541.61</v>
      </c>
      <c r="H20" s="59">
        <f>H19+3</f>
        <v>157</v>
      </c>
      <c r="I20" s="60">
        <f t="shared" si="1"/>
        <v>81839.39</v>
      </c>
      <c r="J20" s="61">
        <v>162</v>
      </c>
      <c r="K20" s="58">
        <f t="shared" si="2"/>
        <v>84445.739999999991</v>
      </c>
      <c r="L20" s="62">
        <v>177</v>
      </c>
      <c r="M20" s="60">
        <f t="shared" si="3"/>
        <v>92264.79</v>
      </c>
      <c r="N20" s="61">
        <v>182</v>
      </c>
      <c r="O20" s="58">
        <f t="shared" si="4"/>
        <v>94871.14</v>
      </c>
      <c r="P20" s="62">
        <v>187</v>
      </c>
      <c r="Q20" s="63">
        <f t="shared" si="5"/>
        <v>97477.489999999991</v>
      </c>
    </row>
    <row r="21" spans="1:17" x14ac:dyDescent="0.25">
      <c r="A21" s="56">
        <v>15</v>
      </c>
      <c r="B21" s="59">
        <v>135</v>
      </c>
      <c r="C21" s="58">
        <f t="shared" si="6"/>
        <v>70371.45</v>
      </c>
      <c r="D21" s="116"/>
      <c r="E21" s="117"/>
      <c r="F21" s="61">
        <v>145</v>
      </c>
      <c r="G21" s="58">
        <f t="shared" si="7"/>
        <v>75584.149999999994</v>
      </c>
      <c r="H21" s="59">
        <f>H20+3</f>
        <v>160</v>
      </c>
      <c r="I21" s="60">
        <f t="shared" si="1"/>
        <v>83403.199999999997</v>
      </c>
      <c r="J21" s="61">
        <v>165</v>
      </c>
      <c r="K21" s="58">
        <f t="shared" si="2"/>
        <v>86009.55</v>
      </c>
      <c r="L21" s="62">
        <v>180</v>
      </c>
      <c r="M21" s="60">
        <f t="shared" si="3"/>
        <v>93828.599999999991</v>
      </c>
      <c r="N21" s="61">
        <v>185</v>
      </c>
      <c r="O21" s="58">
        <f t="shared" si="4"/>
        <v>96434.95</v>
      </c>
      <c r="P21" s="62">
        <v>190</v>
      </c>
      <c r="Q21" s="63">
        <f t="shared" si="5"/>
        <v>99041.3</v>
      </c>
    </row>
    <row r="22" spans="1:17" x14ac:dyDescent="0.25">
      <c r="A22" s="64">
        <v>16</v>
      </c>
      <c r="B22" s="65">
        <v>135.6</v>
      </c>
      <c r="C22" s="66">
        <f t="shared" si="6"/>
        <v>70684.212</v>
      </c>
      <c r="D22" s="116"/>
      <c r="E22" s="117"/>
      <c r="F22" s="68">
        <v>145.6</v>
      </c>
      <c r="G22" s="66">
        <f t="shared" si="7"/>
        <v>75896.911999999997</v>
      </c>
      <c r="H22" s="65">
        <f>H21+0.6</f>
        <v>160.6</v>
      </c>
      <c r="I22" s="67">
        <f t="shared" si="1"/>
        <v>83715.962</v>
      </c>
      <c r="J22" s="68">
        <v>165.6</v>
      </c>
      <c r="K22" s="66">
        <f t="shared" si="2"/>
        <v>86322.311999999991</v>
      </c>
      <c r="L22" s="69">
        <v>180.6</v>
      </c>
      <c r="M22" s="67">
        <f t="shared" si="3"/>
        <v>94141.361999999994</v>
      </c>
      <c r="N22" s="68">
        <v>185.6</v>
      </c>
      <c r="O22" s="66">
        <f t="shared" si="4"/>
        <v>96747.712</v>
      </c>
      <c r="P22" s="69">
        <v>190.6</v>
      </c>
      <c r="Q22" s="70">
        <f t="shared" si="5"/>
        <v>99354.061999999991</v>
      </c>
    </row>
    <row r="23" spans="1:17" x14ac:dyDescent="0.25">
      <c r="A23" s="56">
        <v>17</v>
      </c>
      <c r="B23" s="59">
        <v>136.19999999999999</v>
      </c>
      <c r="C23" s="58">
        <f t="shared" si="6"/>
        <v>70996.973999999987</v>
      </c>
      <c r="D23" s="116"/>
      <c r="E23" s="117"/>
      <c r="F23" s="61">
        <v>146.19999999999999</v>
      </c>
      <c r="G23" s="58">
        <f t="shared" si="7"/>
        <v>76209.673999999985</v>
      </c>
      <c r="H23" s="59">
        <f>H22+0.6</f>
        <v>161.19999999999999</v>
      </c>
      <c r="I23" s="60">
        <f t="shared" si="1"/>
        <v>84028.723999999987</v>
      </c>
      <c r="J23" s="61">
        <v>166.2</v>
      </c>
      <c r="K23" s="58">
        <f t="shared" si="2"/>
        <v>86635.073999999993</v>
      </c>
      <c r="L23" s="62">
        <v>181.2</v>
      </c>
      <c r="M23" s="60">
        <f t="shared" si="3"/>
        <v>94454.123999999996</v>
      </c>
      <c r="N23" s="61">
        <v>186.2</v>
      </c>
      <c r="O23" s="58">
        <f t="shared" si="4"/>
        <v>97060.473999999987</v>
      </c>
      <c r="P23" s="62">
        <v>191.2</v>
      </c>
      <c r="Q23" s="63">
        <f t="shared" si="5"/>
        <v>99666.823999999993</v>
      </c>
    </row>
    <row r="24" spans="1:17" x14ac:dyDescent="0.25">
      <c r="A24" s="56">
        <v>18</v>
      </c>
      <c r="B24" s="59">
        <v>136.79999999999998</v>
      </c>
      <c r="C24" s="58">
        <f t="shared" si="6"/>
        <v>71309.73599999999</v>
      </c>
      <c r="D24" s="116"/>
      <c r="E24" s="117"/>
      <c r="F24" s="61">
        <v>146.79999999999998</v>
      </c>
      <c r="G24" s="58">
        <f t="shared" si="7"/>
        <v>76522.435999999987</v>
      </c>
      <c r="H24" s="59">
        <f>H23+0.6</f>
        <v>161.79999999999998</v>
      </c>
      <c r="I24" s="60">
        <f t="shared" si="1"/>
        <v>84341.48599999999</v>
      </c>
      <c r="J24" s="61">
        <v>166.79999999999998</v>
      </c>
      <c r="K24" s="58">
        <f t="shared" si="2"/>
        <v>86947.835999999981</v>
      </c>
      <c r="L24" s="62">
        <v>181.79999999999998</v>
      </c>
      <c r="M24" s="60">
        <f t="shared" si="3"/>
        <v>94766.885999999984</v>
      </c>
      <c r="N24" s="61">
        <v>186.79999999999998</v>
      </c>
      <c r="O24" s="58">
        <f t="shared" si="4"/>
        <v>97373.23599999999</v>
      </c>
      <c r="P24" s="62">
        <v>191.79999999999998</v>
      </c>
      <c r="Q24" s="63">
        <f t="shared" si="5"/>
        <v>99979.585999999981</v>
      </c>
    </row>
    <row r="25" spans="1:17" x14ac:dyDescent="0.25">
      <c r="A25" s="56">
        <v>19</v>
      </c>
      <c r="B25" s="59">
        <v>137.39999999999998</v>
      </c>
      <c r="C25" s="58">
        <f t="shared" si="6"/>
        <v>71622.497999999992</v>
      </c>
      <c r="D25" s="116"/>
      <c r="E25" s="117"/>
      <c r="F25" s="61">
        <v>147.39999999999998</v>
      </c>
      <c r="G25" s="58">
        <f t="shared" si="7"/>
        <v>76835.197999999989</v>
      </c>
      <c r="H25" s="59">
        <f t="shared" ref="H25:H36" si="9">H24+0.6</f>
        <v>162.39999999999998</v>
      </c>
      <c r="I25" s="60">
        <f t="shared" si="1"/>
        <v>84654.247999999992</v>
      </c>
      <c r="J25" s="61">
        <v>167.39999999999998</v>
      </c>
      <c r="K25" s="58">
        <f t="shared" si="2"/>
        <v>87260.597999999984</v>
      </c>
      <c r="L25" s="62">
        <v>182.39999999999998</v>
      </c>
      <c r="M25" s="60">
        <f t="shared" si="3"/>
        <v>95079.647999999986</v>
      </c>
      <c r="N25" s="61">
        <v>187.39999999999998</v>
      </c>
      <c r="O25" s="58">
        <f t="shared" si="4"/>
        <v>97685.997999999978</v>
      </c>
      <c r="P25" s="62">
        <v>192.39999999999998</v>
      </c>
      <c r="Q25" s="63">
        <f t="shared" si="5"/>
        <v>100292.34799999998</v>
      </c>
    </row>
    <row r="26" spans="1:17" x14ac:dyDescent="0.25">
      <c r="A26" s="71">
        <v>20</v>
      </c>
      <c r="B26" s="72">
        <v>137.99999999999997</v>
      </c>
      <c r="C26" s="73">
        <f t="shared" si="6"/>
        <v>71935.25999999998</v>
      </c>
      <c r="D26" s="116"/>
      <c r="E26" s="117"/>
      <c r="F26" s="75">
        <v>147.99999999999997</v>
      </c>
      <c r="G26" s="73">
        <f t="shared" si="7"/>
        <v>77147.959999999977</v>
      </c>
      <c r="H26" s="72">
        <f t="shared" si="9"/>
        <v>162.99999999999997</v>
      </c>
      <c r="I26" s="74">
        <f t="shared" si="1"/>
        <v>84967.00999999998</v>
      </c>
      <c r="J26" s="75">
        <v>167.99999999999997</v>
      </c>
      <c r="K26" s="73">
        <f t="shared" si="2"/>
        <v>87573.359999999986</v>
      </c>
      <c r="L26" s="76">
        <v>182.99999999999997</v>
      </c>
      <c r="M26" s="74">
        <f t="shared" si="3"/>
        <v>95392.409999999989</v>
      </c>
      <c r="N26" s="75">
        <v>187.99999999999997</v>
      </c>
      <c r="O26" s="73">
        <f t="shared" si="4"/>
        <v>97998.75999999998</v>
      </c>
      <c r="P26" s="76">
        <v>192.99999999999997</v>
      </c>
      <c r="Q26" s="77">
        <f t="shared" si="5"/>
        <v>100605.10999999999</v>
      </c>
    </row>
    <row r="27" spans="1:17" x14ac:dyDescent="0.25">
      <c r="A27" s="56">
        <v>21</v>
      </c>
      <c r="B27" s="59">
        <v>138.59999999999997</v>
      </c>
      <c r="C27" s="58">
        <f t="shared" si="6"/>
        <v>72248.021999999983</v>
      </c>
      <c r="D27" s="116"/>
      <c r="E27" s="117"/>
      <c r="F27" s="61">
        <v>148.59999999999997</v>
      </c>
      <c r="G27" s="58">
        <f t="shared" si="7"/>
        <v>77460.72199999998</v>
      </c>
      <c r="H27" s="59">
        <f t="shared" si="9"/>
        <v>163.59999999999997</v>
      </c>
      <c r="I27" s="60">
        <f t="shared" si="1"/>
        <v>85279.771999999983</v>
      </c>
      <c r="J27" s="61">
        <v>168.59999999999997</v>
      </c>
      <c r="K27" s="58">
        <f t="shared" si="2"/>
        <v>87886.121999999974</v>
      </c>
      <c r="L27" s="62">
        <v>183.59999999999997</v>
      </c>
      <c r="M27" s="60">
        <f t="shared" si="3"/>
        <v>95705.171999999977</v>
      </c>
      <c r="N27" s="61">
        <v>188.59999999999997</v>
      </c>
      <c r="O27" s="58">
        <f t="shared" si="4"/>
        <v>98311.521999999983</v>
      </c>
      <c r="P27" s="62">
        <v>193.59999999999997</v>
      </c>
      <c r="Q27" s="63">
        <f t="shared" si="5"/>
        <v>100917.87199999997</v>
      </c>
    </row>
    <row r="28" spans="1:17" x14ac:dyDescent="0.25">
      <c r="A28" s="56">
        <v>22</v>
      </c>
      <c r="B28" s="59">
        <v>139.19999999999996</v>
      </c>
      <c r="C28" s="58">
        <f t="shared" si="6"/>
        <v>72560.783999999971</v>
      </c>
      <c r="D28" s="116"/>
      <c r="E28" s="117"/>
      <c r="F28" s="61">
        <v>149.19999999999996</v>
      </c>
      <c r="G28" s="58">
        <f t="shared" si="7"/>
        <v>77773.483999999982</v>
      </c>
      <c r="H28" s="59">
        <f t="shared" si="9"/>
        <v>164.19999999999996</v>
      </c>
      <c r="I28" s="60">
        <f t="shared" si="1"/>
        <v>85592.533999999971</v>
      </c>
      <c r="J28" s="61">
        <v>169.19999999999996</v>
      </c>
      <c r="K28" s="58">
        <f t="shared" si="2"/>
        <v>88198.883999999976</v>
      </c>
      <c r="L28" s="62">
        <v>184.19999999999996</v>
      </c>
      <c r="M28" s="60">
        <f t="shared" si="3"/>
        <v>96017.933999999979</v>
      </c>
      <c r="N28" s="61">
        <v>189.19999999999996</v>
      </c>
      <c r="O28" s="58">
        <f t="shared" si="4"/>
        <v>98624.283999999971</v>
      </c>
      <c r="P28" s="62">
        <v>194.19999999999996</v>
      </c>
      <c r="Q28" s="63">
        <f t="shared" si="5"/>
        <v>101230.63399999998</v>
      </c>
    </row>
    <row r="29" spans="1:17" x14ac:dyDescent="0.25">
      <c r="A29" s="56">
        <v>23</v>
      </c>
      <c r="B29" s="59">
        <v>139.79999999999995</v>
      </c>
      <c r="C29" s="58">
        <f t="shared" si="6"/>
        <v>72873.545999999973</v>
      </c>
      <c r="D29" s="116"/>
      <c r="E29" s="117"/>
      <c r="F29" s="61">
        <v>149.79999999999995</v>
      </c>
      <c r="G29" s="58">
        <f t="shared" si="7"/>
        <v>78086.24599999997</v>
      </c>
      <c r="H29" s="59">
        <f t="shared" si="9"/>
        <v>164.79999999999995</v>
      </c>
      <c r="I29" s="60">
        <f t="shared" si="1"/>
        <v>85905.295999999973</v>
      </c>
      <c r="J29" s="61">
        <v>169.79999999999995</v>
      </c>
      <c r="K29" s="58">
        <f t="shared" si="2"/>
        <v>88511.645999999979</v>
      </c>
      <c r="L29" s="62">
        <v>184.79999999999995</v>
      </c>
      <c r="M29" s="60">
        <f t="shared" si="3"/>
        <v>96330.695999999967</v>
      </c>
      <c r="N29" s="61">
        <v>189.79999999999995</v>
      </c>
      <c r="O29" s="58">
        <f t="shared" si="4"/>
        <v>98937.045999999973</v>
      </c>
      <c r="P29" s="62">
        <v>194.79999999999995</v>
      </c>
      <c r="Q29" s="63">
        <f t="shared" si="5"/>
        <v>101543.39599999998</v>
      </c>
    </row>
    <row r="30" spans="1:17" x14ac:dyDescent="0.25">
      <c r="A30" s="56">
        <v>24</v>
      </c>
      <c r="B30" s="59">
        <v>140.39999999999995</v>
      </c>
      <c r="C30" s="58">
        <f t="shared" si="6"/>
        <v>73186.307999999975</v>
      </c>
      <c r="D30" s="116"/>
      <c r="E30" s="117"/>
      <c r="F30" s="61">
        <v>150.39999999999995</v>
      </c>
      <c r="G30" s="58">
        <f t="shared" si="7"/>
        <v>78399.007999999973</v>
      </c>
      <c r="H30" s="59">
        <f t="shared" si="9"/>
        <v>165.39999999999995</v>
      </c>
      <c r="I30" s="60">
        <f t="shared" si="1"/>
        <v>86218.057999999975</v>
      </c>
      <c r="J30" s="61">
        <v>170.39999999999995</v>
      </c>
      <c r="K30" s="58">
        <f t="shared" si="2"/>
        <v>88824.407999999967</v>
      </c>
      <c r="L30" s="62">
        <v>185.39999999999995</v>
      </c>
      <c r="M30" s="60">
        <f t="shared" si="3"/>
        <v>96643.45799999997</v>
      </c>
      <c r="N30" s="61">
        <v>190.39999999999995</v>
      </c>
      <c r="O30" s="58">
        <f t="shared" si="4"/>
        <v>99249.807999999975</v>
      </c>
      <c r="P30" s="62">
        <v>195.39999999999995</v>
      </c>
      <c r="Q30" s="63">
        <f t="shared" si="5"/>
        <v>101856.15799999997</v>
      </c>
    </row>
    <row r="31" spans="1:17" x14ac:dyDescent="0.25">
      <c r="A31" s="56">
        <v>25</v>
      </c>
      <c r="B31" s="59">
        <v>140.99999999999994</v>
      </c>
      <c r="C31" s="58">
        <f t="shared" si="6"/>
        <v>73499.069999999963</v>
      </c>
      <c r="D31" s="116"/>
      <c r="E31" s="117"/>
      <c r="F31" s="75">
        <v>150.99999999999994</v>
      </c>
      <c r="G31" s="73">
        <f t="shared" si="7"/>
        <v>78711.76999999996</v>
      </c>
      <c r="H31" s="59">
        <f t="shared" si="9"/>
        <v>165.99999999999994</v>
      </c>
      <c r="I31" s="60">
        <f t="shared" si="1"/>
        <v>86530.819999999963</v>
      </c>
      <c r="J31" s="61">
        <v>170.99999999999994</v>
      </c>
      <c r="K31" s="58">
        <f t="shared" si="2"/>
        <v>89137.169999999969</v>
      </c>
      <c r="L31" s="62">
        <v>185.99999999999994</v>
      </c>
      <c r="M31" s="60">
        <f t="shared" si="3"/>
        <v>96956.219999999972</v>
      </c>
      <c r="N31" s="61">
        <v>190.99999999999994</v>
      </c>
      <c r="O31" s="58">
        <f t="shared" si="4"/>
        <v>99562.569999999963</v>
      </c>
      <c r="P31" s="62">
        <v>195.99999999999994</v>
      </c>
      <c r="Q31" s="63">
        <f t="shared" si="5"/>
        <v>102168.91999999997</v>
      </c>
    </row>
    <row r="32" spans="1:17" x14ac:dyDescent="0.25">
      <c r="A32" s="64">
        <v>26</v>
      </c>
      <c r="B32" s="65">
        <v>141.59999999999994</v>
      </c>
      <c r="C32" s="66">
        <f t="shared" si="6"/>
        <v>73811.831999999966</v>
      </c>
      <c r="D32" s="116"/>
      <c r="E32" s="118"/>
      <c r="F32" s="129"/>
      <c r="G32" s="115"/>
      <c r="H32" s="78">
        <f t="shared" si="9"/>
        <v>166.59999999999994</v>
      </c>
      <c r="I32" s="66">
        <f t="shared" si="1"/>
        <v>86843.581999999966</v>
      </c>
      <c r="J32" s="68">
        <v>171.59999999999994</v>
      </c>
      <c r="K32" s="66">
        <f t="shared" si="2"/>
        <v>89449.931999999957</v>
      </c>
      <c r="L32" s="69">
        <v>186.59999999999994</v>
      </c>
      <c r="M32" s="67">
        <f t="shared" si="3"/>
        <v>97268.98199999996</v>
      </c>
      <c r="N32" s="68">
        <v>191.59999999999994</v>
      </c>
      <c r="O32" s="66">
        <f t="shared" si="4"/>
        <v>99875.331999999966</v>
      </c>
      <c r="P32" s="69">
        <v>196.59999999999994</v>
      </c>
      <c r="Q32" s="70">
        <f t="shared" si="5"/>
        <v>102481.68199999996</v>
      </c>
    </row>
    <row r="33" spans="1:17" x14ac:dyDescent="0.25">
      <c r="A33" s="56">
        <v>27</v>
      </c>
      <c r="B33" s="59">
        <v>142.19999999999993</v>
      </c>
      <c r="C33" s="58">
        <f t="shared" si="6"/>
        <v>74124.593999999968</v>
      </c>
      <c r="D33" s="116"/>
      <c r="E33" s="118"/>
      <c r="F33" s="121"/>
      <c r="G33" s="117"/>
      <c r="H33" s="79">
        <f t="shared" si="9"/>
        <v>167.19999999999993</v>
      </c>
      <c r="I33" s="58">
        <f t="shared" si="1"/>
        <v>87156.343999999968</v>
      </c>
      <c r="J33" s="61">
        <v>172.19999999999993</v>
      </c>
      <c r="K33" s="58">
        <f t="shared" si="2"/>
        <v>89762.693999999959</v>
      </c>
      <c r="L33" s="62">
        <v>187.19999999999993</v>
      </c>
      <c r="M33" s="60">
        <f t="shared" si="3"/>
        <v>97581.743999999962</v>
      </c>
      <c r="N33" s="61">
        <v>192.19999999999993</v>
      </c>
      <c r="O33" s="58">
        <f t="shared" si="4"/>
        <v>100188.09399999997</v>
      </c>
      <c r="P33" s="62">
        <v>197.19999999999993</v>
      </c>
      <c r="Q33" s="63">
        <f t="shared" si="5"/>
        <v>102794.44399999996</v>
      </c>
    </row>
    <row r="34" spans="1:17" x14ac:dyDescent="0.25">
      <c r="A34" s="56">
        <v>28</v>
      </c>
      <c r="B34" s="59">
        <v>142.79999999999993</v>
      </c>
      <c r="C34" s="58">
        <f t="shared" si="6"/>
        <v>74437.355999999956</v>
      </c>
      <c r="D34" s="116"/>
      <c r="E34" s="118"/>
      <c r="F34" s="121"/>
      <c r="G34" s="117"/>
      <c r="H34" s="79">
        <f t="shared" si="9"/>
        <v>167.79999999999993</v>
      </c>
      <c r="I34" s="58">
        <f t="shared" si="1"/>
        <v>87469.105999999956</v>
      </c>
      <c r="J34" s="61">
        <v>172.79999999999993</v>
      </c>
      <c r="K34" s="58">
        <f t="shared" si="2"/>
        <v>90075.455999999962</v>
      </c>
      <c r="L34" s="62">
        <v>187.79999999999993</v>
      </c>
      <c r="M34" s="60">
        <f t="shared" si="3"/>
        <v>97894.505999999965</v>
      </c>
      <c r="N34" s="61">
        <v>192.79999999999993</v>
      </c>
      <c r="O34" s="58">
        <f t="shared" si="4"/>
        <v>100500.85599999996</v>
      </c>
      <c r="P34" s="62">
        <v>197.79999999999993</v>
      </c>
      <c r="Q34" s="63">
        <f t="shared" si="5"/>
        <v>103107.20599999996</v>
      </c>
    </row>
    <row r="35" spans="1:17" x14ac:dyDescent="0.25">
      <c r="A35" s="56">
        <v>29</v>
      </c>
      <c r="B35" s="59">
        <v>143.39999999999992</v>
      </c>
      <c r="C35" s="58">
        <f t="shared" si="6"/>
        <v>74750.117999999959</v>
      </c>
      <c r="D35" s="116"/>
      <c r="E35" s="118"/>
      <c r="F35" s="121"/>
      <c r="G35" s="117"/>
      <c r="H35" s="79">
        <f t="shared" si="9"/>
        <v>168.39999999999992</v>
      </c>
      <c r="I35" s="58">
        <f t="shared" si="1"/>
        <v>87781.867999999959</v>
      </c>
      <c r="J35" s="61">
        <v>173.39999999999992</v>
      </c>
      <c r="K35" s="58">
        <f t="shared" si="2"/>
        <v>90388.21799999995</v>
      </c>
      <c r="L35" s="62">
        <v>188.39999999999992</v>
      </c>
      <c r="M35" s="60">
        <f t="shared" si="3"/>
        <v>98207.267999999953</v>
      </c>
      <c r="N35" s="61">
        <v>193.39999999999992</v>
      </c>
      <c r="O35" s="58">
        <f t="shared" si="4"/>
        <v>100813.61799999996</v>
      </c>
      <c r="P35" s="62">
        <v>198.39999999999992</v>
      </c>
      <c r="Q35" s="63">
        <f t="shared" si="5"/>
        <v>103419.96799999995</v>
      </c>
    </row>
    <row r="36" spans="1:17" x14ac:dyDescent="0.25">
      <c r="A36" s="71">
        <v>30</v>
      </c>
      <c r="B36" s="72">
        <v>143.99999999999991</v>
      </c>
      <c r="C36" s="73">
        <f t="shared" si="6"/>
        <v>75062.879999999946</v>
      </c>
      <c r="D36" s="116"/>
      <c r="E36" s="118"/>
      <c r="F36" s="121"/>
      <c r="G36" s="117"/>
      <c r="H36" s="80">
        <f t="shared" si="9"/>
        <v>168.99999999999991</v>
      </c>
      <c r="I36" s="73">
        <f t="shared" si="1"/>
        <v>88094.629999999946</v>
      </c>
      <c r="J36" s="75">
        <v>173.99999999999991</v>
      </c>
      <c r="K36" s="73">
        <f t="shared" si="2"/>
        <v>90700.979999999952</v>
      </c>
      <c r="L36" s="76">
        <v>188.99999999999991</v>
      </c>
      <c r="M36" s="74">
        <f t="shared" si="3"/>
        <v>98520.029999999955</v>
      </c>
      <c r="N36" s="75">
        <v>193.99999999999991</v>
      </c>
      <c r="O36" s="73">
        <f t="shared" si="4"/>
        <v>101126.37999999995</v>
      </c>
      <c r="P36" s="76">
        <v>198.99999999999991</v>
      </c>
      <c r="Q36" s="77">
        <f t="shared" si="5"/>
        <v>103732.72999999995</v>
      </c>
    </row>
    <row r="37" spans="1:17" x14ac:dyDescent="0.25">
      <c r="A37" s="56">
        <v>31</v>
      </c>
      <c r="B37" s="114"/>
      <c r="C37" s="119"/>
      <c r="D37" s="120"/>
      <c r="E37" s="118"/>
      <c r="F37" s="121"/>
      <c r="G37" s="117"/>
      <c r="H37" s="79">
        <f>H36+0.5</f>
        <v>169.49999999999991</v>
      </c>
      <c r="I37" s="58">
        <f t="shared" si="1"/>
        <v>88355.264999999956</v>
      </c>
      <c r="J37" s="61">
        <v>174.49999999999991</v>
      </c>
      <c r="K37" s="58">
        <f t="shared" si="2"/>
        <v>90961.614999999947</v>
      </c>
      <c r="L37" s="62">
        <v>189.49999999999991</v>
      </c>
      <c r="M37" s="60">
        <f t="shared" si="3"/>
        <v>98780.66499999995</v>
      </c>
      <c r="N37" s="61">
        <v>194.49999999999991</v>
      </c>
      <c r="O37" s="58">
        <f t="shared" si="4"/>
        <v>101387.01499999996</v>
      </c>
      <c r="P37" s="62">
        <v>199.49999999999991</v>
      </c>
      <c r="Q37" s="63">
        <f t="shared" si="5"/>
        <v>103993.36499999995</v>
      </c>
    </row>
    <row r="38" spans="1:17" x14ac:dyDescent="0.25">
      <c r="A38" s="56">
        <v>32</v>
      </c>
      <c r="B38" s="122"/>
      <c r="C38" s="44"/>
      <c r="D38" s="123"/>
      <c r="E38" s="118"/>
      <c r="F38" s="121"/>
      <c r="G38" s="117"/>
      <c r="H38" s="79">
        <f t="shared" ref="H38:H51" si="10">H37+0.5</f>
        <v>169.99999999999991</v>
      </c>
      <c r="I38" s="58">
        <f t="shared" si="1"/>
        <v>88615.899999999951</v>
      </c>
      <c r="J38" s="61">
        <v>174.99999999999991</v>
      </c>
      <c r="K38" s="58">
        <f t="shared" si="2"/>
        <v>91222.249999999956</v>
      </c>
      <c r="L38" s="62">
        <v>189.99999999999991</v>
      </c>
      <c r="M38" s="60">
        <f t="shared" si="3"/>
        <v>99041.299999999959</v>
      </c>
      <c r="N38" s="61">
        <v>194.99999999999991</v>
      </c>
      <c r="O38" s="58">
        <f t="shared" si="4"/>
        <v>101647.64999999995</v>
      </c>
      <c r="P38" s="62">
        <v>199.99999999999991</v>
      </c>
      <c r="Q38" s="63">
        <f t="shared" si="5"/>
        <v>104253.99999999996</v>
      </c>
    </row>
    <row r="39" spans="1:17" x14ac:dyDescent="0.25">
      <c r="A39" s="56">
        <v>33</v>
      </c>
      <c r="B39" s="122"/>
      <c r="C39" s="44"/>
      <c r="D39" s="123"/>
      <c r="E39" s="118"/>
      <c r="F39" s="121"/>
      <c r="G39" s="117"/>
      <c r="H39" s="79">
        <f t="shared" si="10"/>
        <v>170.49999999999991</v>
      </c>
      <c r="I39" s="58">
        <f t="shared" si="1"/>
        <v>88876.534999999945</v>
      </c>
      <c r="J39" s="61">
        <v>175.49999999999991</v>
      </c>
      <c r="K39" s="58">
        <f t="shared" si="2"/>
        <v>91482.884999999951</v>
      </c>
      <c r="L39" s="62">
        <v>190.49999999999991</v>
      </c>
      <c r="M39" s="60">
        <f t="shared" si="3"/>
        <v>99301.934999999954</v>
      </c>
      <c r="N39" s="61">
        <v>195.49999999999991</v>
      </c>
      <c r="O39" s="58">
        <f t="shared" si="4"/>
        <v>101908.28499999995</v>
      </c>
      <c r="P39" s="62">
        <v>200.49999999999991</v>
      </c>
      <c r="Q39" s="63">
        <f t="shared" si="5"/>
        <v>104514.63499999995</v>
      </c>
    </row>
    <row r="40" spans="1:17" x14ac:dyDescent="0.25">
      <c r="A40" s="56">
        <v>34</v>
      </c>
      <c r="B40" s="122"/>
      <c r="C40" s="44"/>
      <c r="D40" s="123"/>
      <c r="E40" s="118"/>
      <c r="F40" s="121"/>
      <c r="G40" s="117"/>
      <c r="H40" s="79">
        <f t="shared" si="10"/>
        <v>170.99999999999991</v>
      </c>
      <c r="I40" s="58">
        <f t="shared" si="1"/>
        <v>89137.169999999955</v>
      </c>
      <c r="J40" s="61">
        <v>175.99999999999991</v>
      </c>
      <c r="K40" s="58">
        <f t="shared" si="2"/>
        <v>91743.519999999946</v>
      </c>
      <c r="L40" s="62">
        <v>190.99999999999991</v>
      </c>
      <c r="M40" s="60">
        <f t="shared" si="3"/>
        <v>99562.569999999949</v>
      </c>
      <c r="N40" s="61">
        <v>195.99999999999991</v>
      </c>
      <c r="O40" s="58">
        <f t="shared" si="4"/>
        <v>102168.91999999995</v>
      </c>
      <c r="P40" s="62">
        <v>200.99999999999991</v>
      </c>
      <c r="Q40" s="63">
        <f t="shared" si="5"/>
        <v>104775.26999999995</v>
      </c>
    </row>
    <row r="41" spans="1:17" x14ac:dyDescent="0.25">
      <c r="A41" s="56">
        <v>35</v>
      </c>
      <c r="B41" s="122"/>
      <c r="C41" s="44"/>
      <c r="D41" s="123"/>
      <c r="E41" s="118"/>
      <c r="F41" s="121"/>
      <c r="G41" s="117"/>
      <c r="H41" s="79">
        <f t="shared" si="10"/>
        <v>171.49999999999991</v>
      </c>
      <c r="I41" s="58">
        <f t="shared" si="1"/>
        <v>89397.804999999949</v>
      </c>
      <c r="J41" s="61">
        <v>176.49999999999991</v>
      </c>
      <c r="K41" s="58">
        <f t="shared" si="2"/>
        <v>92004.154999999955</v>
      </c>
      <c r="L41" s="62">
        <v>191.49999999999991</v>
      </c>
      <c r="M41" s="60">
        <f t="shared" si="3"/>
        <v>99823.204999999958</v>
      </c>
      <c r="N41" s="61">
        <v>196.49999999999991</v>
      </c>
      <c r="O41" s="58">
        <f t="shared" si="4"/>
        <v>102429.55499999995</v>
      </c>
      <c r="P41" s="62">
        <v>201.49999999999991</v>
      </c>
      <c r="Q41" s="63">
        <f t="shared" si="5"/>
        <v>105035.90499999996</v>
      </c>
    </row>
    <row r="42" spans="1:17" x14ac:dyDescent="0.25">
      <c r="A42" s="64">
        <v>36</v>
      </c>
      <c r="B42" s="122"/>
      <c r="C42" s="44"/>
      <c r="D42" s="123"/>
      <c r="E42" s="118"/>
      <c r="F42" s="121"/>
      <c r="G42" s="117"/>
      <c r="H42" s="78">
        <f t="shared" si="10"/>
        <v>171.99999999999991</v>
      </c>
      <c r="I42" s="66">
        <f t="shared" si="1"/>
        <v>89658.439999999959</v>
      </c>
      <c r="J42" s="68">
        <v>176.99999999999991</v>
      </c>
      <c r="K42" s="66">
        <f t="shared" si="2"/>
        <v>92264.78999999995</v>
      </c>
      <c r="L42" s="69">
        <v>191.99999999999991</v>
      </c>
      <c r="M42" s="67">
        <f t="shared" si="3"/>
        <v>100083.83999999995</v>
      </c>
      <c r="N42" s="68">
        <v>196.99999999999991</v>
      </c>
      <c r="O42" s="66">
        <f t="shared" si="4"/>
        <v>102690.18999999996</v>
      </c>
      <c r="P42" s="69">
        <v>201.99999999999991</v>
      </c>
      <c r="Q42" s="70">
        <f t="shared" si="5"/>
        <v>105296.53999999995</v>
      </c>
    </row>
    <row r="43" spans="1:17" x14ac:dyDescent="0.25">
      <c r="A43" s="56">
        <v>37</v>
      </c>
      <c r="B43" s="122"/>
      <c r="C43" s="44"/>
      <c r="D43" s="123"/>
      <c r="E43" s="118"/>
      <c r="F43" s="121"/>
      <c r="G43" s="117"/>
      <c r="H43" s="79">
        <f t="shared" si="10"/>
        <v>172.49999999999991</v>
      </c>
      <c r="I43" s="58">
        <f t="shared" si="1"/>
        <v>89919.074999999953</v>
      </c>
      <c r="J43" s="61">
        <v>177.49999999999991</v>
      </c>
      <c r="K43" s="58">
        <f t="shared" si="2"/>
        <v>92525.424999999959</v>
      </c>
      <c r="L43" s="62">
        <v>192.49999999999991</v>
      </c>
      <c r="M43" s="60">
        <f t="shared" si="3"/>
        <v>100344.47499999995</v>
      </c>
      <c r="N43" s="61">
        <v>197.49999999999991</v>
      </c>
      <c r="O43" s="58">
        <f t="shared" si="4"/>
        <v>102950.82499999995</v>
      </c>
      <c r="P43" s="62">
        <v>202.49999999999991</v>
      </c>
      <c r="Q43" s="63">
        <f t="shared" si="5"/>
        <v>105557.17499999994</v>
      </c>
    </row>
    <row r="44" spans="1:17" x14ac:dyDescent="0.25">
      <c r="A44" s="56">
        <v>38</v>
      </c>
      <c r="B44" s="122"/>
      <c r="C44" s="44"/>
      <c r="D44" s="123"/>
      <c r="E44" s="118"/>
      <c r="F44" s="121"/>
      <c r="G44" s="117"/>
      <c r="H44" s="79">
        <f t="shared" si="10"/>
        <v>172.99999999999991</v>
      </c>
      <c r="I44" s="58">
        <f t="shared" si="1"/>
        <v>90179.709999999948</v>
      </c>
      <c r="J44" s="61">
        <v>177.99999999999991</v>
      </c>
      <c r="K44" s="58">
        <f t="shared" si="2"/>
        <v>92786.059999999954</v>
      </c>
      <c r="L44" s="62">
        <v>192.99999999999991</v>
      </c>
      <c r="M44" s="60">
        <f t="shared" si="3"/>
        <v>100605.10999999996</v>
      </c>
      <c r="N44" s="61">
        <v>197.99999999999991</v>
      </c>
      <c r="O44" s="58">
        <f t="shared" si="4"/>
        <v>103211.45999999995</v>
      </c>
      <c r="P44" s="62">
        <v>202.99999999999991</v>
      </c>
      <c r="Q44" s="63">
        <f t="shared" si="5"/>
        <v>105817.80999999995</v>
      </c>
    </row>
    <row r="45" spans="1:17" x14ac:dyDescent="0.25">
      <c r="A45" s="56">
        <v>39</v>
      </c>
      <c r="B45" s="122"/>
      <c r="C45" s="44"/>
      <c r="D45" s="123"/>
      <c r="E45" s="118"/>
      <c r="F45" s="121"/>
      <c r="G45" s="117"/>
      <c r="H45" s="79">
        <f t="shared" si="10"/>
        <v>173.49999999999991</v>
      </c>
      <c r="I45" s="58">
        <f t="shared" si="1"/>
        <v>90440.344999999958</v>
      </c>
      <c r="J45" s="61">
        <v>178.49999999999991</v>
      </c>
      <c r="K45" s="58">
        <f t="shared" si="2"/>
        <v>93046.694999999949</v>
      </c>
      <c r="L45" s="62">
        <v>193.49999999999991</v>
      </c>
      <c r="M45" s="60">
        <f t="shared" si="3"/>
        <v>100865.74499999995</v>
      </c>
      <c r="N45" s="61">
        <v>198.49999999999991</v>
      </c>
      <c r="O45" s="58">
        <f t="shared" si="4"/>
        <v>103472.09499999996</v>
      </c>
      <c r="P45" s="62">
        <v>203.49999999999991</v>
      </c>
      <c r="Q45" s="63">
        <f t="shared" si="5"/>
        <v>106078.44499999995</v>
      </c>
    </row>
    <row r="46" spans="1:17" x14ac:dyDescent="0.25">
      <c r="A46" s="71">
        <v>40</v>
      </c>
      <c r="B46" s="116"/>
      <c r="C46" s="118"/>
      <c r="D46" s="120"/>
      <c r="E46" s="118"/>
      <c r="F46" s="121"/>
      <c r="G46" s="117"/>
      <c r="H46" s="80">
        <f t="shared" si="10"/>
        <v>173.99999999999991</v>
      </c>
      <c r="I46" s="73">
        <f t="shared" si="1"/>
        <v>90700.979999999952</v>
      </c>
      <c r="J46" s="75">
        <v>178.99999999999991</v>
      </c>
      <c r="K46" s="73">
        <f t="shared" si="2"/>
        <v>93307.329999999958</v>
      </c>
      <c r="L46" s="76">
        <v>193.99999999999991</v>
      </c>
      <c r="M46" s="74">
        <f t="shared" si="3"/>
        <v>101126.37999999995</v>
      </c>
      <c r="N46" s="75">
        <v>198.99999999999991</v>
      </c>
      <c r="O46" s="73">
        <f t="shared" si="4"/>
        <v>103732.72999999995</v>
      </c>
      <c r="P46" s="76">
        <v>203.99999999999991</v>
      </c>
      <c r="Q46" s="77">
        <f t="shared" si="5"/>
        <v>106339.07999999996</v>
      </c>
    </row>
    <row r="47" spans="1:17" x14ac:dyDescent="0.25">
      <c r="A47" s="56">
        <v>41</v>
      </c>
      <c r="B47" s="116"/>
      <c r="C47" s="118"/>
      <c r="D47" s="120"/>
      <c r="E47" s="118"/>
      <c r="F47" s="121"/>
      <c r="G47" s="117"/>
      <c r="H47" s="79">
        <f t="shared" si="10"/>
        <v>174.49999999999991</v>
      </c>
      <c r="I47" s="58">
        <f t="shared" si="1"/>
        <v>90961.614999999947</v>
      </c>
      <c r="J47" s="61">
        <v>179.49999999999991</v>
      </c>
      <c r="K47" s="58">
        <f t="shared" si="2"/>
        <v>93567.964999999953</v>
      </c>
      <c r="L47" s="62">
        <v>194.49999999999991</v>
      </c>
      <c r="M47" s="60">
        <f t="shared" si="3"/>
        <v>101387.01499999996</v>
      </c>
      <c r="N47" s="61">
        <v>199.49999999999991</v>
      </c>
      <c r="O47" s="58">
        <f t="shared" si="4"/>
        <v>103993.36499999995</v>
      </c>
      <c r="P47" s="62">
        <v>204.49999999999991</v>
      </c>
      <c r="Q47" s="63">
        <f t="shared" si="5"/>
        <v>106599.71499999995</v>
      </c>
    </row>
    <row r="48" spans="1:17" x14ac:dyDescent="0.25">
      <c r="A48" s="56">
        <v>42</v>
      </c>
      <c r="B48" s="116"/>
      <c r="C48" s="118"/>
      <c r="D48" s="120"/>
      <c r="E48" s="118"/>
      <c r="F48" s="121"/>
      <c r="G48" s="117"/>
      <c r="H48" s="79">
        <f t="shared" si="10"/>
        <v>174.99999999999991</v>
      </c>
      <c r="I48" s="58">
        <f t="shared" si="1"/>
        <v>91222.249999999956</v>
      </c>
      <c r="J48" s="61">
        <v>179.99999999999991</v>
      </c>
      <c r="K48" s="58">
        <f t="shared" si="2"/>
        <v>93828.599999999948</v>
      </c>
      <c r="L48" s="62">
        <v>194.99999999999991</v>
      </c>
      <c r="M48" s="60">
        <f t="shared" si="3"/>
        <v>101647.64999999995</v>
      </c>
      <c r="N48" s="61">
        <v>199.99999999999991</v>
      </c>
      <c r="O48" s="58">
        <f t="shared" si="4"/>
        <v>104253.99999999996</v>
      </c>
      <c r="P48" s="62">
        <v>204.99999999999991</v>
      </c>
      <c r="Q48" s="63">
        <f t="shared" si="5"/>
        <v>106860.34999999995</v>
      </c>
    </row>
    <row r="49" spans="1:17" x14ac:dyDescent="0.25">
      <c r="A49" s="56">
        <v>43</v>
      </c>
      <c r="B49" s="116"/>
      <c r="C49" s="118"/>
      <c r="D49" s="120"/>
      <c r="E49" s="118"/>
      <c r="F49" s="121"/>
      <c r="G49" s="117"/>
      <c r="H49" s="79">
        <f t="shared" si="10"/>
        <v>175.49999999999991</v>
      </c>
      <c r="I49" s="58">
        <f t="shared" si="1"/>
        <v>91482.884999999951</v>
      </c>
      <c r="J49" s="61">
        <v>180.49999999999991</v>
      </c>
      <c r="K49" s="58">
        <f t="shared" si="2"/>
        <v>94089.234999999957</v>
      </c>
      <c r="L49" s="62">
        <v>195.49999999999991</v>
      </c>
      <c r="M49" s="60">
        <f t="shared" si="3"/>
        <v>101908.28499999995</v>
      </c>
      <c r="N49" s="61">
        <v>200.49999999999991</v>
      </c>
      <c r="O49" s="58">
        <f t="shared" si="4"/>
        <v>104514.63499999995</v>
      </c>
      <c r="P49" s="62">
        <v>205.49999999999991</v>
      </c>
      <c r="Q49" s="63">
        <f t="shared" si="5"/>
        <v>107120.98499999996</v>
      </c>
    </row>
    <row r="50" spans="1:17" x14ac:dyDescent="0.25">
      <c r="A50" s="56">
        <v>44</v>
      </c>
      <c r="B50" s="116"/>
      <c r="C50" s="118"/>
      <c r="D50" s="120"/>
      <c r="E50" s="118"/>
      <c r="F50" s="121"/>
      <c r="G50" s="117"/>
      <c r="H50" s="79">
        <f t="shared" si="10"/>
        <v>175.99999999999991</v>
      </c>
      <c r="I50" s="58">
        <f t="shared" si="1"/>
        <v>91743.519999999946</v>
      </c>
      <c r="J50" s="61">
        <v>180.99999999999991</v>
      </c>
      <c r="K50" s="58">
        <f t="shared" si="2"/>
        <v>94349.869999999952</v>
      </c>
      <c r="L50" s="62">
        <v>195.99999999999991</v>
      </c>
      <c r="M50" s="60">
        <f t="shared" si="3"/>
        <v>102168.91999999995</v>
      </c>
      <c r="N50" s="61">
        <v>200.99999999999991</v>
      </c>
      <c r="O50" s="58">
        <f t="shared" si="4"/>
        <v>104775.26999999995</v>
      </c>
      <c r="P50" s="62">
        <v>205.99999999999991</v>
      </c>
      <c r="Q50" s="63">
        <f t="shared" si="5"/>
        <v>107381.61999999995</v>
      </c>
    </row>
    <row r="51" spans="1:17" ht="15.75" thickBot="1" x14ac:dyDescent="0.3">
      <c r="A51" s="81">
        <v>45</v>
      </c>
      <c r="B51" s="124"/>
      <c r="C51" s="125"/>
      <c r="D51" s="126"/>
      <c r="E51" s="125"/>
      <c r="F51" s="127"/>
      <c r="G51" s="128"/>
      <c r="H51" s="82">
        <f t="shared" si="10"/>
        <v>176.49999999999991</v>
      </c>
      <c r="I51" s="85">
        <f t="shared" si="1"/>
        <v>92004.154999999955</v>
      </c>
      <c r="J51" s="86">
        <v>181.49999999999991</v>
      </c>
      <c r="K51" s="85">
        <f t="shared" si="2"/>
        <v>94610.504999999946</v>
      </c>
      <c r="L51" s="84">
        <v>196.49999999999991</v>
      </c>
      <c r="M51" s="83">
        <f t="shared" si="3"/>
        <v>102429.55499999995</v>
      </c>
      <c r="N51" s="86">
        <v>201.49999999999991</v>
      </c>
      <c r="O51" s="85">
        <f t="shared" si="4"/>
        <v>105035.90499999996</v>
      </c>
      <c r="P51" s="84">
        <v>206.49999999999991</v>
      </c>
      <c r="Q51" s="87">
        <f t="shared" si="5"/>
        <v>107642.25499999995</v>
      </c>
    </row>
  </sheetData>
  <sheetProtection algorithmName="SHA-512" hashValue="oyMyLPL1fQJ2zL5KiVAh/X8zSvUngKIa+/U1LhQBl+PFFbpPI+VoAmxaaLntiHgriWLbBLQZ02HqOCzsVNg0Fg==" saltValue="UW7U+BWoXqDz3geNKTUSQg==" spinCount="100000" sheet="1" objects="1" scenarios="1"/>
  <mergeCells count="10">
    <mergeCell ref="P2:Q2"/>
    <mergeCell ref="F4:G4"/>
    <mergeCell ref="D4:E4"/>
    <mergeCell ref="B4:C4"/>
    <mergeCell ref="A4:A5"/>
    <mergeCell ref="P4:Q4"/>
    <mergeCell ref="N4:O4"/>
    <mergeCell ref="L4:M4"/>
    <mergeCell ref="J4:K4"/>
    <mergeCell ref="H4:I4"/>
  </mergeCells>
  <printOptions horizontalCentered="1" verticalCentered="1"/>
  <pageMargins left="0.5" right="0.5" top="0.5" bottom="0.5" header="0.5" footer="0.3"/>
  <pageSetup scale="69" fitToWidth="0" orientation="landscape" r:id="rId1"/>
  <ignoredErrors>
    <ignoredError sqref="D7:D16 H7:H3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F9AB-3D9D-4E66-9E6D-C735BC5154CB}">
  <sheetPr codeName="Sheet3">
    <tabColor theme="9" tint="-0.499984740745262"/>
    <pageSetUpPr fitToPage="1"/>
  </sheetPr>
  <dimension ref="A1:N56"/>
  <sheetViews>
    <sheetView zoomScale="85" zoomScaleNormal="85" workbookViewId="0">
      <selection activeCell="E19" sqref="E19:F19"/>
    </sheetView>
  </sheetViews>
  <sheetFormatPr defaultRowHeight="15" x14ac:dyDescent="0.25"/>
  <cols>
    <col min="1" max="1" width="8.42578125" customWidth="1"/>
    <col min="2" max="3" width="13.42578125" customWidth="1"/>
    <col min="4" max="4" width="20" customWidth="1"/>
    <col min="5" max="5" width="13.42578125" customWidth="1"/>
    <col min="6" max="6" width="8.42578125" customWidth="1"/>
    <col min="7" max="7" width="3.85546875" customWidth="1"/>
    <col min="8" max="9" width="13.42578125" customWidth="1"/>
  </cols>
  <sheetData>
    <row r="1" spans="1:9" s="106" customFormat="1" ht="26.25" x14ac:dyDescent="0.4">
      <c r="A1" s="101" t="s">
        <v>132</v>
      </c>
      <c r="B1" s="102"/>
      <c r="C1" s="103"/>
      <c r="D1" s="102"/>
      <c r="E1" s="103"/>
      <c r="F1" s="102"/>
      <c r="G1" s="104"/>
      <c r="H1" s="104"/>
      <c r="I1" s="105"/>
    </row>
    <row r="2" spans="1:9" s="106" customFormat="1" ht="26.25" x14ac:dyDescent="0.4">
      <c r="A2" s="101" t="s">
        <v>198</v>
      </c>
      <c r="B2" s="102"/>
      <c r="C2" s="103"/>
      <c r="D2" s="102"/>
      <c r="E2" s="103"/>
      <c r="F2" s="102"/>
      <c r="G2" s="104"/>
      <c r="H2" s="104"/>
    </row>
    <row r="4" spans="1:9" x14ac:dyDescent="0.25">
      <c r="A4" s="31" t="s">
        <v>126</v>
      </c>
      <c r="B4" s="31"/>
      <c r="C4" s="31"/>
      <c r="D4" s="31"/>
      <c r="E4" s="31"/>
      <c r="F4" s="6"/>
      <c r="G4" s="6"/>
      <c r="H4" s="6"/>
      <c r="I4" s="6"/>
    </row>
    <row r="6" spans="1:9" x14ac:dyDescent="0.25">
      <c r="A6" s="250" t="s">
        <v>6</v>
      </c>
      <c r="B6" s="250"/>
      <c r="C6" s="241" t="s">
        <v>165</v>
      </c>
      <c r="D6" s="241"/>
      <c r="E6" s="241"/>
      <c r="F6" s="241"/>
    </row>
    <row r="7" spans="1:9" x14ac:dyDescent="0.25">
      <c r="A7" s="250" t="s">
        <v>7</v>
      </c>
      <c r="B7" s="250"/>
      <c r="C7" s="240" t="s">
        <v>166</v>
      </c>
      <c r="D7" s="240"/>
      <c r="E7" s="240"/>
      <c r="F7" s="240"/>
    </row>
    <row r="8" spans="1:9" x14ac:dyDescent="0.25">
      <c r="A8" s="250" t="s">
        <v>8</v>
      </c>
      <c r="B8" s="250"/>
      <c r="C8" s="239" t="s">
        <v>147</v>
      </c>
      <c r="D8" s="239"/>
      <c r="E8" s="239"/>
      <c r="F8" s="239"/>
    </row>
    <row r="10" spans="1:9" x14ac:dyDescent="0.25">
      <c r="B10" s="8" t="s">
        <v>9</v>
      </c>
      <c r="C10" s="250" t="s">
        <v>10</v>
      </c>
      <c r="D10" s="250"/>
      <c r="E10" s="250"/>
      <c r="F10" s="171">
        <v>0</v>
      </c>
      <c r="G10" s="3"/>
    </row>
    <row r="11" spans="1:9" x14ac:dyDescent="0.25">
      <c r="C11" s="250" t="s">
        <v>11</v>
      </c>
      <c r="D11" s="250"/>
      <c r="E11" s="250"/>
      <c r="F11" s="171">
        <v>0</v>
      </c>
      <c r="G11" s="3"/>
    </row>
    <row r="12" spans="1:9" x14ac:dyDescent="0.25">
      <c r="C12" s="250" t="s">
        <v>12</v>
      </c>
      <c r="D12" s="250"/>
      <c r="E12" s="250"/>
      <c r="F12" s="171">
        <v>0</v>
      </c>
      <c r="G12" s="3"/>
    </row>
    <row r="13" spans="1:9" ht="15.75" thickBot="1" x14ac:dyDescent="0.3">
      <c r="C13" s="250" t="s">
        <v>13</v>
      </c>
      <c r="D13" s="250"/>
      <c r="E13" s="250"/>
      <c r="F13" s="4">
        <f>SUM(F10:F12)</f>
        <v>0</v>
      </c>
    </row>
    <row r="14" spans="1:9" ht="15.75" thickTop="1" x14ac:dyDescent="0.25"/>
    <row r="15" spans="1:9" x14ac:dyDescent="0.25">
      <c r="A15" s="5" t="s">
        <v>14</v>
      </c>
      <c r="B15" s="6" t="s">
        <v>15</v>
      </c>
      <c r="C15" s="6"/>
      <c r="D15" s="6"/>
      <c r="E15" s="6"/>
    </row>
    <row r="16" spans="1:9" x14ac:dyDescent="0.25">
      <c r="B16" t="s">
        <v>129</v>
      </c>
      <c r="I16" s="181">
        <f>'Base Salary Table'!P2</f>
        <v>52127</v>
      </c>
    </row>
    <row r="17" spans="1:9" x14ac:dyDescent="0.25">
      <c r="A17" s="145" t="s">
        <v>150</v>
      </c>
    </row>
    <row r="18" spans="1:9" x14ac:dyDescent="0.25">
      <c r="B18" t="s">
        <v>91</v>
      </c>
      <c r="I18" s="7">
        <f>VLOOKUP(E19,AreaSalary,2,FALSE)</f>
        <v>0</v>
      </c>
    </row>
    <row r="19" spans="1:9" x14ac:dyDescent="0.25">
      <c r="B19" s="14"/>
      <c r="E19" s="242" t="s">
        <v>151</v>
      </c>
      <c r="F19" s="242"/>
    </row>
    <row r="20" spans="1:9" x14ac:dyDescent="0.25">
      <c r="B20" s="14"/>
      <c r="I20" s="19"/>
    </row>
    <row r="21" spans="1:9" x14ac:dyDescent="0.25">
      <c r="B21" s="13" t="s">
        <v>105</v>
      </c>
      <c r="G21" s="8" t="s">
        <v>107</v>
      </c>
      <c r="H21" s="41">
        <v>100</v>
      </c>
    </row>
    <row r="22" spans="1:9" x14ac:dyDescent="0.25">
      <c r="G22" s="8"/>
      <c r="H22" s="8" t="s">
        <v>18</v>
      </c>
      <c r="I22" s="7">
        <f>H21*0.01*IF(I18&gt;0,I18,I16)</f>
        <v>52127</v>
      </c>
    </row>
    <row r="23" spans="1:9" x14ac:dyDescent="0.25">
      <c r="I23" s="19"/>
    </row>
    <row r="24" spans="1:9" x14ac:dyDescent="0.25">
      <c r="A24" s="5" t="s">
        <v>16</v>
      </c>
      <c r="B24" s="6" t="s">
        <v>103</v>
      </c>
      <c r="C24" s="6"/>
      <c r="D24" s="6"/>
      <c r="E24" s="6"/>
    </row>
    <row r="25" spans="1:9" x14ac:dyDescent="0.25">
      <c r="B25" s="13" t="s">
        <v>96</v>
      </c>
      <c r="H25" s="8" t="s">
        <v>17</v>
      </c>
      <c r="I25" s="171">
        <v>12</v>
      </c>
    </row>
    <row r="26" spans="1:9" x14ac:dyDescent="0.25">
      <c r="B26" t="s">
        <v>104</v>
      </c>
      <c r="H26" s="8" t="s">
        <v>18</v>
      </c>
      <c r="I26" s="7">
        <f>+I22/12*I25</f>
        <v>52127</v>
      </c>
    </row>
    <row r="28" spans="1:9" x14ac:dyDescent="0.25">
      <c r="A28" s="5" t="s">
        <v>19</v>
      </c>
      <c r="B28" s="6" t="s">
        <v>95</v>
      </c>
      <c r="C28" s="6"/>
      <c r="D28" s="6"/>
      <c r="E28" s="6"/>
    </row>
    <row r="29" spans="1:9" x14ac:dyDescent="0.25">
      <c r="B29" s="13" t="s">
        <v>130</v>
      </c>
      <c r="H29" s="182">
        <f>INDEX(EducExpGrid,F13+1,VLOOKUP(C8,EducationClass,2,FALSE))</f>
        <v>100</v>
      </c>
    </row>
    <row r="30" spans="1:9" x14ac:dyDescent="0.25">
      <c r="B30" s="13" t="s">
        <v>133</v>
      </c>
      <c r="D30" s="20" t="s">
        <v>20</v>
      </c>
      <c r="E30" s="244" t="s">
        <v>100</v>
      </c>
      <c r="F30" s="244"/>
      <c r="G30" s="18" t="s">
        <v>21</v>
      </c>
      <c r="H30" s="10">
        <f>VLOOKUP(E30,AWW,2,FALSE)</f>
        <v>0</v>
      </c>
    </row>
    <row r="31" spans="1:9" x14ac:dyDescent="0.25">
      <c r="D31" s="20" t="s">
        <v>5</v>
      </c>
      <c r="E31" s="244" t="s">
        <v>100</v>
      </c>
      <c r="F31" s="244"/>
      <c r="G31" s="18" t="s">
        <v>21</v>
      </c>
      <c r="H31" s="10">
        <f>VLOOKUP(E31,AWW,3,FALSE)</f>
        <v>0</v>
      </c>
    </row>
    <row r="32" spans="1:9" x14ac:dyDescent="0.25">
      <c r="D32" s="12" t="s">
        <v>97</v>
      </c>
      <c r="E32" s="251" t="s">
        <v>26</v>
      </c>
      <c r="F32" s="251"/>
      <c r="G32" s="18" t="s">
        <v>21</v>
      </c>
      <c r="H32" s="10">
        <f>VLOOKUP(E32,Options!A62:C64,3,FALSE)</f>
        <v>0</v>
      </c>
    </row>
    <row r="33" spans="1:14" x14ac:dyDescent="0.25">
      <c r="D33" s="20" t="s">
        <v>22</v>
      </c>
      <c r="E33" s="252" t="s">
        <v>102</v>
      </c>
      <c r="F33" s="252"/>
      <c r="G33" s="18" t="s">
        <v>21</v>
      </c>
      <c r="H33" s="9">
        <f>VLOOKUP(E33,Enrollment,2,FALSE)</f>
        <v>0</v>
      </c>
    </row>
    <row r="34" spans="1:14" x14ac:dyDescent="0.25">
      <c r="D34" s="12" t="s">
        <v>82</v>
      </c>
      <c r="E34" s="251" t="s">
        <v>102</v>
      </c>
      <c r="F34" s="251"/>
      <c r="G34" s="18" t="s">
        <v>21</v>
      </c>
      <c r="H34" s="16">
        <f>VLOOKUP(E34,Enrollment,3,FALSE)</f>
        <v>0</v>
      </c>
    </row>
    <row r="35" spans="1:14" x14ac:dyDescent="0.25">
      <c r="B35" s="13" t="s">
        <v>158</v>
      </c>
      <c r="D35" s="243" t="s">
        <v>146</v>
      </c>
      <c r="E35" s="243"/>
      <c r="F35" s="243"/>
      <c r="G35" s="18" t="s">
        <v>21</v>
      </c>
      <c r="H35" s="172">
        <v>0</v>
      </c>
    </row>
    <row r="36" spans="1:14" x14ac:dyDescent="0.25">
      <c r="B36" s="13" t="s">
        <v>131</v>
      </c>
      <c r="D36" s="240" t="s">
        <v>145</v>
      </c>
      <c r="E36" s="240"/>
      <c r="F36" s="240"/>
      <c r="G36" s="18" t="s">
        <v>21</v>
      </c>
      <c r="H36" s="172">
        <v>0</v>
      </c>
    </row>
    <row r="37" spans="1:14" x14ac:dyDescent="0.25">
      <c r="B37" s="146" t="s">
        <v>121</v>
      </c>
      <c r="D37" s="240" t="s">
        <v>145</v>
      </c>
      <c r="E37" s="240"/>
      <c r="F37" s="240"/>
      <c r="G37" s="18" t="s">
        <v>21</v>
      </c>
      <c r="H37" s="172">
        <v>0</v>
      </c>
    </row>
    <row r="38" spans="1:14" x14ac:dyDescent="0.25">
      <c r="B38" s="146" t="s">
        <v>123</v>
      </c>
      <c r="D38" s="240" t="s">
        <v>145</v>
      </c>
      <c r="E38" s="240"/>
      <c r="F38" s="240"/>
      <c r="G38" s="18" t="s">
        <v>23</v>
      </c>
      <c r="H38" s="173">
        <v>0</v>
      </c>
    </row>
    <row r="39" spans="1:14" x14ac:dyDescent="0.25">
      <c r="H39" s="8" t="s">
        <v>17</v>
      </c>
      <c r="I39" s="183">
        <f>(SUM(H29:H37)-H38)/100</f>
        <v>1</v>
      </c>
    </row>
    <row r="41" spans="1:14" x14ac:dyDescent="0.25">
      <c r="B41" s="13" t="s">
        <v>24</v>
      </c>
      <c r="H41" s="8" t="s">
        <v>18</v>
      </c>
      <c r="I41" s="7">
        <f>+I26*I39</f>
        <v>52127</v>
      </c>
    </row>
    <row r="43" spans="1:14" x14ac:dyDescent="0.25">
      <c r="A43" s="5" t="s">
        <v>122</v>
      </c>
      <c r="B43" s="6" t="s">
        <v>124</v>
      </c>
      <c r="C43" s="6"/>
      <c r="D43" s="6"/>
      <c r="E43" s="6"/>
    </row>
    <row r="44" spans="1:14" x14ac:dyDescent="0.25">
      <c r="B44" t="s">
        <v>143</v>
      </c>
      <c r="E44" s="236" t="s">
        <v>144</v>
      </c>
      <c r="F44" s="236"/>
      <c r="H44" s="8" t="s">
        <v>23</v>
      </c>
      <c r="I44" s="42" t="str">
        <f>IF(ISNUMBER(E44),E44,"0")</f>
        <v>0</v>
      </c>
    </row>
    <row r="45" spans="1:14" x14ac:dyDescent="0.25">
      <c r="B45" s="17" t="s">
        <v>125</v>
      </c>
      <c r="E45" s="251" t="s">
        <v>29</v>
      </c>
      <c r="F45" s="251"/>
      <c r="G45" s="18" t="s">
        <v>107</v>
      </c>
      <c r="H45" s="30">
        <f>VLOOKUP(E45,SECA,2,FALSE)</f>
        <v>0</v>
      </c>
      <c r="I45" s="9">
        <f>(I41*H45*0.01)</f>
        <v>0</v>
      </c>
    </row>
    <row r="46" spans="1:14" x14ac:dyDescent="0.25">
      <c r="B46" s="27"/>
      <c r="H46" s="28"/>
    </row>
    <row r="47" spans="1:14" ht="15.75" thickBot="1" x14ac:dyDescent="0.3">
      <c r="B47" s="13" t="s">
        <v>128</v>
      </c>
      <c r="H47" s="8" t="s">
        <v>18</v>
      </c>
      <c r="I47" s="29">
        <f>I41-I44+I45</f>
        <v>52127</v>
      </c>
      <c r="M47" s="19"/>
      <c r="N47" s="221"/>
    </row>
    <row r="48" spans="1:14" ht="15.75" thickTop="1" x14ac:dyDescent="0.25">
      <c r="B48" s="27"/>
    </row>
    <row r="49" spans="1:11" x14ac:dyDescent="0.25">
      <c r="A49" s="14" t="s">
        <v>25</v>
      </c>
      <c r="F49" s="251" t="s">
        <v>26</v>
      </c>
      <c r="G49" s="251"/>
      <c r="H49" s="251"/>
      <c r="K49" s="19"/>
    </row>
    <row r="50" spans="1:11" x14ac:dyDescent="0.25">
      <c r="F50" s="32"/>
      <c r="G50" s="32"/>
    </row>
    <row r="51" spans="1:11" x14ac:dyDescent="0.25">
      <c r="B51" s="32" t="str">
        <f>IF(ISNUMBER(SEARCH("Yes",F49)),"Explain rationale or adjust accordingly.","")</f>
        <v/>
      </c>
      <c r="C51" s="32"/>
      <c r="D51" s="32"/>
      <c r="E51" s="32"/>
      <c r="F51" s="32"/>
      <c r="G51" s="32"/>
    </row>
    <row r="53" spans="1:11" x14ac:dyDescent="0.25">
      <c r="B53" s="21" t="s">
        <v>127</v>
      </c>
      <c r="C53" s="237" t="str">
        <f>IF(I16&gt;0,IF(I18&gt;0,"Options A and Option B both chosen in Step 1. Option B will be used unless removed.",""),"")</f>
        <v/>
      </c>
      <c r="D53" s="237"/>
      <c r="E53" s="237"/>
      <c r="F53" s="237"/>
      <c r="G53" s="237"/>
      <c r="H53" s="237"/>
      <c r="I53" s="238"/>
    </row>
    <row r="54" spans="1:11" x14ac:dyDescent="0.25">
      <c r="B54" s="23"/>
      <c r="C54" s="245" t="str">
        <f>IF(VLOOKUP(C8,EducationClass,2,FALSE)=1,IF(F13&gt;30,"Please note that the scale for Class I normally stops at 30 years.",""),IF(VLOOKUP(C8,EducationClass,2,FALSE)=2,IF(F13&gt;10,"Please note that the scale for Class II normally stops at 10 years.",""),IF(VLOOKUP(C8,EducationClass,2,FALSE)=3,IF(F13&gt;25,"Please note that the scale for Class III normally stops at 25 years.",""),IF(VLOOKUP(C8,EducationClass,2,FALSE)=4,IF(F13&gt;45,"Please note that the scale for Class IV normally stops at 45 years.",""),IF(VLOOKUP(C8,EducationClass,2,FALSE)=5,IF(F13&gt;45,"Please note that the scale for Class V normally stops at 45 years.",""),IF(VLOOKUP(C8,EducationClass,2,FALSE)=6,IF(F13&gt;45,"Please note that the scale for Class VI normally stops at 45 years.",""),IF(VLOOKUP(C8,EducationClass,2,FALSE)=7,IF(F13&gt;45,"Please note that the scale for Class VII normally stops at 45 years.",""),IF(VLOOKUP(C8,EducationClass,2,FALSE)=8,IF(F13&gt;45,"Please note that the scale for Class VIII normally stops at 45 years.",""),""))))))))</f>
        <v/>
      </c>
      <c r="D54" s="246"/>
      <c r="E54" s="246"/>
      <c r="F54" s="246"/>
      <c r="G54" s="246"/>
      <c r="H54" s="246"/>
      <c r="I54" s="247"/>
    </row>
    <row r="55" spans="1:11" x14ac:dyDescent="0.25">
      <c r="B55" s="20"/>
      <c r="C55" s="248" t="str">
        <f>IF(H30&gt;0,IF(H31&gt;0,"Multiple responsibilties chosen in Step 3, please correct.",""),"")</f>
        <v/>
      </c>
      <c r="D55" s="248"/>
      <c r="E55" s="248"/>
      <c r="F55" s="248"/>
      <c r="G55" s="248"/>
      <c r="H55" s="248"/>
      <c r="I55" s="249"/>
    </row>
    <row r="56" spans="1:11" x14ac:dyDescent="0.25">
      <c r="B56" s="12"/>
      <c r="C56" s="22" t="str">
        <f>IF(H33&gt;0,IF(H34&gt;0,"Multiple responsibilties chosen in Step 3, please correct.",""),"")</f>
        <v/>
      </c>
      <c r="D56" s="6"/>
      <c r="E56" s="6"/>
      <c r="F56" s="6"/>
      <c r="G56" s="6"/>
      <c r="H56" s="6"/>
      <c r="I56" s="15"/>
    </row>
  </sheetData>
  <sheetProtection algorithmName="SHA-512" hashValue="2NxK+V4SWNqAaeY74HaGDhhPO1VMWWZXiCmsFunusi65mJBMbxu3mFcj0PFByyqpwPusanxSdBUez0RjkEYCWw==" saltValue="yMKOrTKLjFS/JHX+zfhfBg==" spinCount="100000" sheet="1" selectLockedCells="1"/>
  <protectedRanges>
    <protectedRange sqref="D35:E38" name="Range4"/>
    <protectedRange sqref="I25 E30:E31 E32:F34 E45:F45 H35:H38 I44" name="Range2"/>
    <protectedRange sqref="C8:F8 F10:F12 I16 E19 I25" name="Range1"/>
    <protectedRange sqref="C6:F7" name="Range3"/>
    <protectedRange sqref="E44:F44" name="Range4_1"/>
    <protectedRange sqref="F49:H49" name="Range2_1"/>
  </protectedRanges>
  <mergeCells count="26">
    <mergeCell ref="C54:I54"/>
    <mergeCell ref="C55:I55"/>
    <mergeCell ref="A6:B6"/>
    <mergeCell ref="A7:B7"/>
    <mergeCell ref="A8:B8"/>
    <mergeCell ref="C10:E10"/>
    <mergeCell ref="C11:E11"/>
    <mergeCell ref="E31:F31"/>
    <mergeCell ref="E32:F32"/>
    <mergeCell ref="E34:F34"/>
    <mergeCell ref="C12:E12"/>
    <mergeCell ref="C13:E13"/>
    <mergeCell ref="E33:F33"/>
    <mergeCell ref="E45:F45"/>
    <mergeCell ref="F49:H49"/>
    <mergeCell ref="D38:F38"/>
    <mergeCell ref="E44:F44"/>
    <mergeCell ref="C53:I53"/>
    <mergeCell ref="C8:F8"/>
    <mergeCell ref="C7:F7"/>
    <mergeCell ref="C6:F6"/>
    <mergeCell ref="E19:F19"/>
    <mergeCell ref="D37:F37"/>
    <mergeCell ref="D35:F35"/>
    <mergeCell ref="D36:F36"/>
    <mergeCell ref="E30:F30"/>
  </mergeCells>
  <dataValidations count="1">
    <dataValidation type="list" allowBlank="1" showInputMessage="1" showErrorMessage="1" sqref="E23" xr:uid="{7B58D64D-BF06-4834-8AD1-4171680E76B1}">
      <formula1>Area</formula1>
    </dataValidation>
  </dataValidations>
  <printOptions horizontalCentered="1" verticalCentered="1"/>
  <pageMargins left="0.5" right="0.5" top="0.5" bottom="0.5" header="0.5" footer="0.3"/>
  <pageSetup scale="86" fitToWidth="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A2B8DFA6-FEB8-4C83-9668-267F5B21A07C}">
          <x14:formula1>
            <xm:f>Options!$A$12:$A$43</xm:f>
          </x14:formula1>
          <xm:sqref>E19</xm:sqref>
        </x14:dataValidation>
        <x14:dataValidation type="list" allowBlank="1" showInputMessage="1" showErrorMessage="1" xr:uid="{9EF98394-C613-449B-A150-4E8DCA97FD33}">
          <x14:formula1>
            <xm:f>Options!$A$55:$A$59</xm:f>
          </x14:formula1>
          <xm:sqref>E33:F34</xm:sqref>
        </x14:dataValidation>
        <x14:dataValidation type="list" allowBlank="1" showErrorMessage="1" promptTitle="Choose Education Level" prompt="Choose the Worker's Education Level" xr:uid="{DEA9FD9A-8EB0-442E-8D74-1F4042BCCFF1}">
          <x14:formula1>
            <xm:f>Options!$A$1:$A$9</xm:f>
          </x14:formula1>
          <xm:sqref>C8</xm:sqref>
        </x14:dataValidation>
        <x14:dataValidation type="list" allowBlank="1" showInputMessage="1" showErrorMessage="1" xr:uid="{80861A12-6645-4CBB-872E-1D3ADD8E485D}">
          <x14:formula1>
            <xm:f>Options!$A$62:$A$64</xm:f>
          </x14:formula1>
          <xm:sqref>E32:F32 F49:H49 E45:F45</xm:sqref>
        </x14:dataValidation>
        <x14:dataValidation type="list" allowBlank="1" showInputMessage="1" showErrorMessage="1" xr:uid="{13F2BC2D-B304-4DEA-A954-6C9227E97231}">
          <x14:formula1>
            <xm:f>Options!$A$45:$A$53</xm:f>
          </x14:formula1>
          <xm:sqref>E30:E31</xm:sqref>
        </x14:dataValidation>
        <x14:dataValidation type="list" allowBlank="1" showInputMessage="1" showErrorMessage="1" xr:uid="{D8A71F5D-DF4F-4A5B-A84F-82FFE43F59C2}">
          <x14:formula1>
            <xm:f>Options!$A$67:$A$118</xm:f>
          </x14:formula1>
          <xm:sqref>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D62F-0126-4C6E-8226-4871BA4CA995}">
  <sheetPr codeName="Sheet4">
    <pageSetUpPr fitToPage="1"/>
  </sheetPr>
  <dimension ref="A1:M47"/>
  <sheetViews>
    <sheetView showGridLines="0" zoomScaleNormal="100" workbookViewId="0">
      <selection activeCell="E19" sqref="E19:F19"/>
    </sheetView>
  </sheetViews>
  <sheetFormatPr defaultRowHeight="15" x14ac:dyDescent="0.25"/>
  <cols>
    <col min="1" max="1" width="8.42578125" customWidth="1"/>
    <col min="2" max="3" width="13.42578125" customWidth="1"/>
    <col min="4" max="4" width="20" customWidth="1"/>
    <col min="5" max="5" width="13.42578125" customWidth="1"/>
    <col min="6" max="6" width="8.42578125" customWidth="1"/>
    <col min="7" max="7" width="3.85546875" customWidth="1"/>
    <col min="8" max="9" width="13.42578125" customWidth="1"/>
  </cols>
  <sheetData>
    <row r="1" spans="1:9" s="106" customFormat="1" ht="26.25" x14ac:dyDescent="0.4">
      <c r="A1" s="174" t="s">
        <v>132</v>
      </c>
      <c r="B1" s="175"/>
      <c r="C1" s="176"/>
      <c r="D1" s="175"/>
      <c r="E1" s="176"/>
      <c r="F1" s="175"/>
      <c r="G1" s="104"/>
      <c r="H1" s="104"/>
      <c r="I1" s="105"/>
    </row>
    <row r="2" spans="1:9" s="106" customFormat="1" ht="26.25" x14ac:dyDescent="0.4">
      <c r="A2" s="174" t="s">
        <v>198</v>
      </c>
      <c r="B2" s="175"/>
      <c r="C2" s="176"/>
      <c r="D2" s="175"/>
      <c r="E2" s="176"/>
      <c r="F2" s="175"/>
      <c r="G2" s="104"/>
      <c r="H2" s="104"/>
    </row>
    <row r="4" spans="1:9" x14ac:dyDescent="0.25">
      <c r="A4" s="31"/>
      <c r="B4" s="31"/>
      <c r="C4" s="31"/>
      <c r="D4" s="31"/>
      <c r="E4" s="31"/>
      <c r="F4" s="6"/>
      <c r="G4" s="6"/>
      <c r="H4" s="6"/>
      <c r="I4" s="6"/>
    </row>
    <row r="6" spans="1:9" x14ac:dyDescent="0.25">
      <c r="A6" s="250" t="s">
        <v>6</v>
      </c>
      <c r="B6" s="250"/>
      <c r="C6" s="253"/>
      <c r="D6" s="253"/>
      <c r="E6" s="253"/>
      <c r="F6" s="253"/>
    </row>
    <row r="7" spans="1:9" x14ac:dyDescent="0.25">
      <c r="A7" s="250" t="s">
        <v>7</v>
      </c>
      <c r="B7" s="250"/>
      <c r="C7" s="254"/>
      <c r="D7" s="254"/>
      <c r="E7" s="254"/>
      <c r="F7" s="254"/>
    </row>
    <row r="8" spans="1:9" x14ac:dyDescent="0.25">
      <c r="A8" s="250" t="s">
        <v>8</v>
      </c>
      <c r="B8" s="250"/>
      <c r="C8" s="255"/>
      <c r="D8" s="255"/>
      <c r="E8" s="255"/>
      <c r="F8" s="255"/>
    </row>
    <row r="10" spans="1:9" x14ac:dyDescent="0.25">
      <c r="B10" s="8" t="s">
        <v>9</v>
      </c>
      <c r="C10" s="250" t="s">
        <v>10</v>
      </c>
      <c r="D10" s="250"/>
      <c r="E10" s="250"/>
      <c r="F10" s="177"/>
      <c r="G10" s="3"/>
    </row>
    <row r="11" spans="1:9" x14ac:dyDescent="0.25">
      <c r="C11" s="250" t="s">
        <v>11</v>
      </c>
      <c r="D11" s="250"/>
      <c r="E11" s="250"/>
      <c r="F11" s="177"/>
      <c r="G11" s="3"/>
    </row>
    <row r="12" spans="1:9" x14ac:dyDescent="0.25">
      <c r="C12" s="250" t="s">
        <v>12</v>
      </c>
      <c r="D12" s="250"/>
      <c r="E12" s="250"/>
      <c r="F12" s="177"/>
      <c r="G12" s="3"/>
    </row>
    <row r="13" spans="1:9" ht="15.75" thickBot="1" x14ac:dyDescent="0.3">
      <c r="C13" s="250" t="s">
        <v>13</v>
      </c>
      <c r="D13" s="250"/>
      <c r="E13" s="250"/>
      <c r="F13" s="4"/>
    </row>
    <row r="14" spans="1:9" ht="15.75" thickTop="1" x14ac:dyDescent="0.25"/>
    <row r="15" spans="1:9" x14ac:dyDescent="0.25">
      <c r="A15" s="5" t="s">
        <v>14</v>
      </c>
      <c r="B15" s="6" t="s">
        <v>15</v>
      </c>
      <c r="C15" s="6"/>
      <c r="D15" s="6"/>
      <c r="E15" s="6"/>
    </row>
    <row r="16" spans="1:9" x14ac:dyDescent="0.25">
      <c r="B16" t="s">
        <v>129</v>
      </c>
      <c r="I16" s="181">
        <f>'Base Salary Table'!P2</f>
        <v>52127</v>
      </c>
    </row>
    <row r="17" spans="1:9" x14ac:dyDescent="0.25">
      <c r="A17" s="145" t="s">
        <v>150</v>
      </c>
    </row>
    <row r="18" spans="1:9" x14ac:dyDescent="0.25">
      <c r="B18" t="s">
        <v>91</v>
      </c>
      <c r="I18" s="7"/>
    </row>
    <row r="19" spans="1:9" x14ac:dyDescent="0.25">
      <c r="B19" s="14"/>
      <c r="I19" s="19"/>
    </row>
    <row r="20" spans="1:9" x14ac:dyDescent="0.25">
      <c r="B20" s="13" t="s">
        <v>105</v>
      </c>
      <c r="G20" s="8" t="s">
        <v>107</v>
      </c>
      <c r="H20" s="178"/>
    </row>
    <row r="21" spans="1:9" x14ac:dyDescent="0.25">
      <c r="G21" s="8"/>
      <c r="H21" s="8" t="s">
        <v>18</v>
      </c>
      <c r="I21" s="7"/>
    </row>
    <row r="22" spans="1:9" x14ac:dyDescent="0.25">
      <c r="I22" s="19"/>
    </row>
    <row r="23" spans="1:9" x14ac:dyDescent="0.25">
      <c r="A23" s="5" t="s">
        <v>16</v>
      </c>
      <c r="B23" s="6" t="s">
        <v>103</v>
      </c>
      <c r="C23" s="6"/>
      <c r="D23" s="6"/>
      <c r="E23" s="6"/>
    </row>
    <row r="24" spans="1:9" x14ac:dyDescent="0.25">
      <c r="B24" s="13" t="s">
        <v>96</v>
      </c>
      <c r="H24" s="8" t="s">
        <v>17</v>
      </c>
      <c r="I24" s="177"/>
    </row>
    <row r="25" spans="1:9" x14ac:dyDescent="0.25">
      <c r="B25" t="s">
        <v>104</v>
      </c>
      <c r="H25" s="8" t="s">
        <v>18</v>
      </c>
      <c r="I25" s="7"/>
    </row>
    <row r="27" spans="1:9" x14ac:dyDescent="0.25">
      <c r="A27" s="5" t="s">
        <v>19</v>
      </c>
      <c r="B27" s="6" t="s">
        <v>95</v>
      </c>
      <c r="C27" s="6"/>
      <c r="D27" s="6"/>
      <c r="E27" s="6"/>
    </row>
    <row r="28" spans="1:9" x14ac:dyDescent="0.25">
      <c r="B28" s="13" t="s">
        <v>130</v>
      </c>
      <c r="H28" s="9"/>
    </row>
    <row r="29" spans="1:9" x14ac:dyDescent="0.25">
      <c r="B29" s="13" t="s">
        <v>133</v>
      </c>
      <c r="D29" s="20" t="s">
        <v>20</v>
      </c>
      <c r="E29" s="256"/>
      <c r="F29" s="256"/>
      <c r="G29" s="18" t="s">
        <v>21</v>
      </c>
      <c r="H29" s="10"/>
    </row>
    <row r="30" spans="1:9" x14ac:dyDescent="0.25">
      <c r="D30" s="20" t="s">
        <v>5</v>
      </c>
      <c r="E30" s="256"/>
      <c r="F30" s="256"/>
      <c r="G30" s="18" t="s">
        <v>21</v>
      </c>
      <c r="H30" s="10"/>
    </row>
    <row r="31" spans="1:9" x14ac:dyDescent="0.25">
      <c r="D31" s="12" t="s">
        <v>97</v>
      </c>
      <c r="E31" s="257"/>
      <c r="F31" s="257"/>
      <c r="G31" s="18" t="s">
        <v>21</v>
      </c>
      <c r="H31" s="10"/>
    </row>
    <row r="32" spans="1:9" x14ac:dyDescent="0.25">
      <c r="D32" s="20" t="s">
        <v>22</v>
      </c>
      <c r="E32" s="258"/>
      <c r="F32" s="258"/>
      <c r="G32" s="18" t="s">
        <v>21</v>
      </c>
      <c r="H32" s="9"/>
    </row>
    <row r="33" spans="1:13" x14ac:dyDescent="0.25">
      <c r="D33" s="12" t="s">
        <v>82</v>
      </c>
      <c r="E33" s="257"/>
      <c r="F33" s="257"/>
      <c r="G33" s="18" t="s">
        <v>21</v>
      </c>
      <c r="H33" s="16"/>
    </row>
    <row r="34" spans="1:13" x14ac:dyDescent="0.25">
      <c r="B34" s="13" t="s">
        <v>159</v>
      </c>
      <c r="D34" s="259"/>
      <c r="E34" s="259"/>
      <c r="F34" s="259"/>
      <c r="G34" s="18" t="s">
        <v>21</v>
      </c>
      <c r="H34" s="179"/>
    </row>
    <row r="35" spans="1:13" x14ac:dyDescent="0.25">
      <c r="B35" s="13" t="s">
        <v>131</v>
      </c>
      <c r="D35" s="254"/>
      <c r="E35" s="254"/>
      <c r="F35" s="254"/>
      <c r="G35" s="18" t="s">
        <v>21</v>
      </c>
      <c r="H35" s="179"/>
    </row>
    <row r="36" spans="1:13" x14ac:dyDescent="0.25">
      <c r="B36" s="146" t="s">
        <v>121</v>
      </c>
      <c r="D36" s="254"/>
      <c r="E36" s="254"/>
      <c r="F36" s="254"/>
      <c r="G36" s="18" t="s">
        <v>21</v>
      </c>
      <c r="H36" s="179"/>
    </row>
    <row r="37" spans="1:13" x14ac:dyDescent="0.25">
      <c r="B37" s="146" t="s">
        <v>123</v>
      </c>
      <c r="D37" s="254"/>
      <c r="E37" s="254"/>
      <c r="F37" s="254"/>
      <c r="G37" s="18" t="s">
        <v>23</v>
      </c>
      <c r="H37" s="180"/>
    </row>
    <row r="38" spans="1:13" x14ac:dyDescent="0.25">
      <c r="H38" s="8" t="s">
        <v>17</v>
      </c>
      <c r="I38" s="11"/>
    </row>
    <row r="40" spans="1:13" x14ac:dyDescent="0.25">
      <c r="B40" s="13" t="s">
        <v>24</v>
      </c>
      <c r="H40" s="8" t="s">
        <v>18</v>
      </c>
      <c r="I40" s="7"/>
    </row>
    <row r="42" spans="1:13" x14ac:dyDescent="0.25">
      <c r="A42" s="5" t="s">
        <v>122</v>
      </c>
      <c r="B42" s="6" t="s">
        <v>124</v>
      </c>
      <c r="C42" s="6"/>
      <c r="D42" s="6"/>
      <c r="E42" s="6"/>
    </row>
    <row r="43" spans="1:13" x14ac:dyDescent="0.25">
      <c r="B43" t="s">
        <v>143</v>
      </c>
      <c r="E43" s="260" t="s">
        <v>152</v>
      </c>
      <c r="F43" s="260"/>
      <c r="H43" s="8" t="s">
        <v>23</v>
      </c>
      <c r="I43" s="42"/>
    </row>
    <row r="44" spans="1:13" x14ac:dyDescent="0.25">
      <c r="B44" s="17" t="s">
        <v>125</v>
      </c>
      <c r="E44" s="261" t="s">
        <v>134</v>
      </c>
      <c r="F44" s="261"/>
      <c r="G44" s="18" t="s">
        <v>107</v>
      </c>
      <c r="H44" s="30">
        <v>7.65</v>
      </c>
      <c r="I44" s="9"/>
    </row>
    <row r="45" spans="1:13" x14ac:dyDescent="0.25">
      <c r="B45" s="27"/>
      <c r="H45" s="28"/>
    </row>
    <row r="46" spans="1:13" ht="15.75" thickBot="1" x14ac:dyDescent="0.3">
      <c r="B46" s="13" t="s">
        <v>128</v>
      </c>
      <c r="H46" s="8" t="s">
        <v>18</v>
      </c>
      <c r="I46" s="29"/>
      <c r="M46" s="19"/>
    </row>
    <row r="47" spans="1:13" ht="15.75" thickTop="1" x14ac:dyDescent="0.25">
      <c r="B47" s="27"/>
    </row>
  </sheetData>
  <sheetProtection selectLockedCells="1"/>
  <protectedRanges>
    <protectedRange sqref="D34:E37" name="Range4"/>
    <protectedRange sqref="I24 E29:E30 E31:F33 E44:F44 H34:H37 I43" name="Range2"/>
    <protectedRange sqref="C8:F8 F10:F12 I16 I24" name="Range1"/>
    <protectedRange sqref="C6:F7" name="Range3"/>
    <protectedRange sqref="E43:F43" name="Range4_1"/>
  </protectedRanges>
  <mergeCells count="21">
    <mergeCell ref="D36:F36"/>
    <mergeCell ref="D37:F37"/>
    <mergeCell ref="E43:F43"/>
    <mergeCell ref="E44:F44"/>
    <mergeCell ref="D35:F35"/>
    <mergeCell ref="C10:E10"/>
    <mergeCell ref="C11:E11"/>
    <mergeCell ref="C12:E12"/>
    <mergeCell ref="C13:E13"/>
    <mergeCell ref="E29:F29"/>
    <mergeCell ref="E30:F30"/>
    <mergeCell ref="E31:F31"/>
    <mergeCell ref="E32:F32"/>
    <mergeCell ref="E33:F33"/>
    <mergeCell ref="D34:F34"/>
    <mergeCell ref="A6:B6"/>
    <mergeCell ref="C6:F6"/>
    <mergeCell ref="A7:B7"/>
    <mergeCell ref="C7:F7"/>
    <mergeCell ref="A8:B8"/>
    <mergeCell ref="C8:F8"/>
  </mergeCells>
  <dataValidations count="1">
    <dataValidation type="list" allowBlank="1" showInputMessage="1" showErrorMessage="1" sqref="E22" xr:uid="{1A30E09F-03A5-4BAE-9FD0-EB664A8D5922}">
      <formula1>Area</formula1>
    </dataValidation>
  </dataValidations>
  <printOptions horizontalCentered="1"/>
  <pageMargins left="0.5" right="0.5" top="0.5" bottom="0.5" header="0.5" footer="0.3"/>
  <pageSetup scale="88"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9D554069-F143-4859-BD79-C7755026453D}">
          <x14:formula1>
            <xm:f>Options!$A$67:$A$118</xm:f>
          </x14:formula1>
          <xm:sqref>H20</xm:sqref>
        </x14:dataValidation>
        <x14:dataValidation type="list" allowBlank="1" showInputMessage="1" showErrorMessage="1" xr:uid="{72576759-1351-4570-92AA-D4E2136D592C}">
          <x14:formula1>
            <xm:f>Options!$A$45:$A$53</xm:f>
          </x14:formula1>
          <xm:sqref>E29:E30</xm:sqref>
        </x14:dataValidation>
        <x14:dataValidation type="list" allowBlank="1" showInputMessage="1" showErrorMessage="1" xr:uid="{253E0152-8290-4C5D-90A7-3EFB82E9DE31}">
          <x14:formula1>
            <xm:f>Options!$A$62:$A$64</xm:f>
          </x14:formula1>
          <xm:sqref>E31:F31 E44:F44</xm:sqref>
        </x14:dataValidation>
        <x14:dataValidation type="list" allowBlank="1" showErrorMessage="1" promptTitle="Choose Education Level" prompt="Choose the Worker's Education Level" xr:uid="{4354D33C-CB4C-420E-ACD7-70F64E878133}">
          <x14:formula1>
            <xm:f>Options!$A$1:$A$9</xm:f>
          </x14:formula1>
          <xm:sqref>C8</xm:sqref>
        </x14:dataValidation>
        <x14:dataValidation type="list" allowBlank="1" showInputMessage="1" showErrorMessage="1" xr:uid="{0BC35D6D-8070-4F41-949E-8D83FE6D45A3}">
          <x14:formula1>
            <xm:f>Options!$A$55:$A$59</xm:f>
          </x14:formula1>
          <xm:sqref>E32:F33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7B9B8-B965-4C65-84A7-E685BA4B0F09}">
  <sheetPr codeName="Sheet5">
    <pageSetUpPr fitToPage="1"/>
  </sheetPr>
  <dimension ref="A1:T122"/>
  <sheetViews>
    <sheetView topLeftCell="B1" zoomScale="85" zoomScaleNormal="85" workbookViewId="0">
      <selection activeCell="E19" sqref="E19:F19"/>
    </sheetView>
  </sheetViews>
  <sheetFormatPr defaultRowHeight="14.25" x14ac:dyDescent="0.25"/>
  <cols>
    <col min="1" max="1" width="82.28515625" style="45" bestFit="1" customWidth="1"/>
    <col min="2" max="2" width="11" style="45" customWidth="1"/>
    <col min="3" max="4" width="9.140625" style="45"/>
    <col min="5" max="5" width="17.140625" style="45" bestFit="1" customWidth="1"/>
    <col min="6" max="6" width="9.140625" style="45" customWidth="1"/>
    <col min="7" max="7" width="11.5703125" style="45" customWidth="1"/>
    <col min="8" max="8" width="14.85546875" style="46" customWidth="1"/>
    <col min="9" max="9" width="5.140625" style="45" customWidth="1"/>
    <col min="10" max="10" width="17.85546875" style="45" customWidth="1"/>
    <col min="11" max="11" width="9.140625" style="45" customWidth="1"/>
    <col min="12" max="12" width="17.85546875" style="45" customWidth="1"/>
    <col min="13" max="13" width="9.140625" style="45" customWidth="1"/>
    <col min="14" max="14" width="20.140625" style="45" customWidth="1"/>
    <col min="15" max="15" width="9.140625" style="45" customWidth="1"/>
    <col min="16" max="16" width="20.140625" style="45" customWidth="1"/>
    <col min="17" max="17" width="9.140625" style="45" customWidth="1"/>
    <col min="18" max="18" width="20.140625" style="45" bestFit="1" customWidth="1"/>
    <col min="19" max="19" width="9.140625" style="45"/>
    <col min="20" max="20" width="11.5703125" style="45" bestFit="1" customWidth="1"/>
    <col min="21" max="21" width="9.140625" style="45"/>
    <col min="22" max="22" width="10.28515625" style="45" bestFit="1" customWidth="1"/>
    <col min="23" max="16384" width="9.140625" style="45"/>
  </cols>
  <sheetData>
    <row r="1" spans="1:20" x14ac:dyDescent="0.25">
      <c r="A1" s="43" t="s">
        <v>147</v>
      </c>
      <c r="B1" s="44">
        <v>3</v>
      </c>
    </row>
    <row r="2" spans="1:20" x14ac:dyDescent="0.25">
      <c r="A2" s="44" t="s">
        <v>120</v>
      </c>
      <c r="B2" s="44">
        <v>1</v>
      </c>
    </row>
    <row r="3" spans="1:20" x14ac:dyDescent="0.25">
      <c r="A3" s="44" t="s">
        <v>118</v>
      </c>
      <c r="B3" s="44">
        <v>2</v>
      </c>
    </row>
    <row r="4" spans="1:20" x14ac:dyDescent="0.25">
      <c r="A4" s="44" t="s">
        <v>119</v>
      </c>
      <c r="B4" s="44">
        <v>3</v>
      </c>
    </row>
    <row r="5" spans="1:20" x14ac:dyDescent="0.25">
      <c r="A5" s="44" t="s">
        <v>114</v>
      </c>
      <c r="B5" s="44">
        <v>4</v>
      </c>
    </row>
    <row r="6" spans="1:20" x14ac:dyDescent="0.25">
      <c r="A6" s="44" t="s">
        <v>90</v>
      </c>
      <c r="B6" s="44">
        <v>5</v>
      </c>
    </row>
    <row r="7" spans="1:20" x14ac:dyDescent="0.25">
      <c r="A7" s="44" t="s">
        <v>110</v>
      </c>
      <c r="B7" s="44">
        <v>6</v>
      </c>
      <c r="G7" s="184"/>
      <c r="H7" s="185" t="s">
        <v>189</v>
      </c>
      <c r="I7" s="186"/>
      <c r="J7" s="186"/>
      <c r="K7" s="186"/>
      <c r="L7" s="186"/>
      <c r="M7" s="186"/>
      <c r="N7" s="186"/>
      <c r="O7" s="186"/>
      <c r="P7" s="186"/>
      <c r="Q7" s="186"/>
      <c r="R7" s="186"/>
      <c r="S7" s="186"/>
      <c r="T7" s="187"/>
    </row>
    <row r="8" spans="1:20" ht="15" x14ac:dyDescent="0.25">
      <c r="A8" s="44" t="s">
        <v>109</v>
      </c>
      <c r="B8" s="44">
        <v>7</v>
      </c>
      <c r="G8" s="188"/>
      <c r="H8" s="189" t="s">
        <v>180</v>
      </c>
      <c r="T8" s="190"/>
    </row>
    <row r="9" spans="1:20" x14ac:dyDescent="0.25">
      <c r="A9" s="44" t="s">
        <v>108</v>
      </c>
      <c r="B9" s="44">
        <v>8</v>
      </c>
      <c r="G9" s="188"/>
      <c r="T9" s="190"/>
    </row>
    <row r="10" spans="1:20" x14ac:dyDescent="0.25">
      <c r="G10" s="188"/>
      <c r="H10" s="50" t="s">
        <v>161</v>
      </c>
      <c r="J10" s="52" t="s">
        <v>168</v>
      </c>
      <c r="L10" s="52" t="s">
        <v>169</v>
      </c>
      <c r="N10" s="52" t="s">
        <v>175</v>
      </c>
      <c r="P10" s="52" t="s">
        <v>179</v>
      </c>
      <c r="R10" s="219" t="s">
        <v>179</v>
      </c>
      <c r="T10" s="191" t="s">
        <v>182</v>
      </c>
    </row>
    <row r="11" spans="1:20" x14ac:dyDescent="0.25">
      <c r="A11" s="43" t="s">
        <v>65</v>
      </c>
      <c r="B11" s="43" t="s">
        <v>177</v>
      </c>
      <c r="C11" s="44"/>
      <c r="D11" s="44"/>
      <c r="E11" s="43" t="s">
        <v>66</v>
      </c>
      <c r="G11" s="188"/>
      <c r="H11" s="192" t="s">
        <v>186</v>
      </c>
      <c r="J11" s="192" t="s">
        <v>173</v>
      </c>
      <c r="L11" s="192" t="s">
        <v>172</v>
      </c>
      <c r="N11" s="192" t="s">
        <v>174</v>
      </c>
      <c r="P11" s="192" t="s">
        <v>181</v>
      </c>
      <c r="R11" s="223" t="s">
        <v>199</v>
      </c>
      <c r="T11" s="190"/>
    </row>
    <row r="12" spans="1:20" x14ac:dyDescent="0.25">
      <c r="A12" s="43" t="s">
        <v>151</v>
      </c>
      <c r="B12" s="44">
        <v>0</v>
      </c>
      <c r="C12" s="44"/>
      <c r="D12" s="44"/>
      <c r="E12" s="44"/>
      <c r="G12" s="188"/>
      <c r="H12" s="214" t="s">
        <v>187</v>
      </c>
      <c r="I12" s="215"/>
      <c r="J12" s="214" t="s">
        <v>187</v>
      </c>
      <c r="K12" s="215"/>
      <c r="L12" s="214" t="s">
        <v>187</v>
      </c>
      <c r="M12" s="215"/>
      <c r="N12" s="216" t="s">
        <v>188</v>
      </c>
      <c r="O12" s="215"/>
      <c r="P12" s="214" t="s">
        <v>188</v>
      </c>
      <c r="R12" s="214" t="s">
        <v>188</v>
      </c>
      <c r="T12" s="190"/>
    </row>
    <row r="13" spans="1:20" x14ac:dyDescent="0.25">
      <c r="A13" s="47" t="s">
        <v>31</v>
      </c>
      <c r="B13" s="220">
        <f>R13</f>
        <v>51714</v>
      </c>
      <c r="C13" s="48">
        <f>B13/$B$30</f>
        <v>0.9607624568052614</v>
      </c>
      <c r="D13" s="44"/>
      <c r="E13" s="44" t="s">
        <v>62</v>
      </c>
      <c r="G13" s="193"/>
      <c r="H13" s="46">
        <v>46565</v>
      </c>
      <c r="J13" s="46">
        <v>47506</v>
      </c>
      <c r="L13" s="46">
        <v>48702</v>
      </c>
      <c r="N13" s="46">
        <v>48065</v>
      </c>
      <c r="O13" s="46"/>
      <c r="P13" s="46">
        <v>49911</v>
      </c>
      <c r="R13" s="46">
        <v>51714</v>
      </c>
      <c r="T13" s="194">
        <f>(R13/P13)-1</f>
        <v>3.6124301256236002E-2</v>
      </c>
    </row>
    <row r="14" spans="1:20" x14ac:dyDescent="0.25">
      <c r="A14" s="47" t="s">
        <v>32</v>
      </c>
      <c r="B14" s="220">
        <f t="shared" ref="B14:B43" si="0">R14</f>
        <v>51876</v>
      </c>
      <c r="C14" s="48">
        <f t="shared" ref="C14:C20" si="1">B14/$B$30</f>
        <v>0.96377215472076694</v>
      </c>
      <c r="D14" s="44"/>
      <c r="E14" s="44" t="s">
        <v>63</v>
      </c>
      <c r="G14" s="193"/>
      <c r="H14" s="195">
        <v>47499</v>
      </c>
      <c r="J14" s="46">
        <v>48459</v>
      </c>
      <c r="L14" s="46">
        <v>49429</v>
      </c>
      <c r="N14" s="46">
        <v>48783</v>
      </c>
      <c r="O14" s="46"/>
      <c r="P14" s="46">
        <v>50228</v>
      </c>
      <c r="R14" s="46">
        <v>51876</v>
      </c>
      <c r="T14" s="194">
        <f t="shared" ref="T14:T43" si="2">(R14/P14)-1</f>
        <v>3.2810384646014157E-2</v>
      </c>
    </row>
    <row r="15" spans="1:20" x14ac:dyDescent="0.25">
      <c r="A15" s="47" t="s">
        <v>33</v>
      </c>
      <c r="B15" s="220">
        <f t="shared" si="0"/>
        <v>52905</v>
      </c>
      <c r="C15" s="48">
        <f t="shared" si="1"/>
        <v>0.98288930999888535</v>
      </c>
      <c r="D15" s="44"/>
      <c r="E15" s="44" t="s">
        <v>50</v>
      </c>
      <c r="G15" s="193"/>
      <c r="H15" s="195">
        <v>48670</v>
      </c>
      <c r="J15" s="46">
        <v>49653</v>
      </c>
      <c r="L15" s="46">
        <v>50431</v>
      </c>
      <c r="N15" s="46">
        <v>49772</v>
      </c>
      <c r="O15" s="46"/>
      <c r="P15" s="46">
        <v>51246</v>
      </c>
      <c r="R15" s="46">
        <v>52905</v>
      </c>
      <c r="T15" s="194">
        <f t="shared" si="2"/>
        <v>3.2373258400655747E-2</v>
      </c>
    </row>
    <row r="16" spans="1:20" x14ac:dyDescent="0.25">
      <c r="A16" s="47" t="s">
        <v>34</v>
      </c>
      <c r="B16" s="220">
        <f t="shared" si="0"/>
        <v>53339</v>
      </c>
      <c r="C16" s="48">
        <f t="shared" si="1"/>
        <v>0.99095232787128895</v>
      </c>
      <c r="D16" s="44"/>
      <c r="E16" s="44" t="s">
        <v>64</v>
      </c>
      <c r="G16" s="193"/>
      <c r="H16" s="46">
        <v>49068</v>
      </c>
      <c r="J16" s="46">
        <v>50060</v>
      </c>
      <c r="L16" s="46">
        <v>50846</v>
      </c>
      <c r="N16" s="46">
        <v>50181</v>
      </c>
      <c r="O16" s="46"/>
      <c r="P16" s="46">
        <v>51668</v>
      </c>
      <c r="R16" s="46">
        <v>53339</v>
      </c>
      <c r="T16" s="194">
        <f t="shared" si="2"/>
        <v>3.2341100874816231E-2</v>
      </c>
    </row>
    <row r="17" spans="1:20" x14ac:dyDescent="0.25">
      <c r="A17" s="47" t="s">
        <v>35</v>
      </c>
      <c r="B17" s="220">
        <f t="shared" si="0"/>
        <v>53014</v>
      </c>
      <c r="C17" s="48">
        <f t="shared" si="1"/>
        <v>0.98491435365808344</v>
      </c>
      <c r="D17" s="44"/>
      <c r="E17" s="44" t="s">
        <v>41</v>
      </c>
      <c r="G17" s="193"/>
      <c r="H17" s="195">
        <v>48762</v>
      </c>
      <c r="J17" s="46">
        <v>49726</v>
      </c>
      <c r="L17" s="46">
        <v>50559</v>
      </c>
      <c r="N17" s="46">
        <v>49898</v>
      </c>
      <c r="O17" s="46"/>
      <c r="P17" s="46">
        <v>51376</v>
      </c>
      <c r="R17" s="46">
        <v>53014</v>
      </c>
      <c r="T17" s="194">
        <f t="shared" si="2"/>
        <v>3.1882591093117307E-2</v>
      </c>
    </row>
    <row r="18" spans="1:20" x14ac:dyDescent="0.25">
      <c r="A18" s="47" t="s">
        <v>36</v>
      </c>
      <c r="B18" s="220">
        <f t="shared" si="0"/>
        <v>52039</v>
      </c>
      <c r="C18" s="48">
        <f t="shared" si="1"/>
        <v>0.96680043101846691</v>
      </c>
      <c r="D18" s="44"/>
      <c r="E18" s="47" t="s">
        <v>36</v>
      </c>
      <c r="G18" s="188"/>
      <c r="H18" s="46">
        <v>47448</v>
      </c>
      <c r="J18" s="46">
        <v>48407</v>
      </c>
      <c r="L18" s="46">
        <v>49375</v>
      </c>
      <c r="N18" s="46">
        <v>48730</v>
      </c>
      <c r="O18" s="46"/>
      <c r="P18" s="46">
        <v>50173</v>
      </c>
      <c r="R18" s="46">
        <v>52039</v>
      </c>
      <c r="T18" s="194">
        <f t="shared" si="2"/>
        <v>3.7191318039583088E-2</v>
      </c>
    </row>
    <row r="19" spans="1:20" x14ac:dyDescent="0.25">
      <c r="A19" s="47" t="s">
        <v>37</v>
      </c>
      <c r="B19" s="220">
        <f t="shared" si="0"/>
        <v>51714</v>
      </c>
      <c r="C19" s="48">
        <f t="shared" si="1"/>
        <v>0.9607624568052614</v>
      </c>
      <c r="D19" s="44"/>
      <c r="E19" s="44" t="s">
        <v>67</v>
      </c>
      <c r="G19" s="193"/>
      <c r="H19" s="46">
        <v>46565</v>
      </c>
      <c r="J19" s="46">
        <v>47506</v>
      </c>
      <c r="L19" s="46">
        <v>48702</v>
      </c>
      <c r="N19" s="46">
        <v>48065</v>
      </c>
      <c r="O19" s="46"/>
      <c r="P19" s="46">
        <v>49911</v>
      </c>
      <c r="R19" s="46">
        <v>51714</v>
      </c>
      <c r="T19" s="194">
        <f t="shared" si="2"/>
        <v>3.6124301256236002E-2</v>
      </c>
    </row>
    <row r="20" spans="1:20" x14ac:dyDescent="0.25">
      <c r="A20" s="47" t="s">
        <v>178</v>
      </c>
      <c r="B20" s="220">
        <f t="shared" si="0"/>
        <v>52743</v>
      </c>
      <c r="C20" s="48">
        <f t="shared" si="1"/>
        <v>0.97987961208337981</v>
      </c>
      <c r="D20" s="43"/>
      <c r="E20" s="44" t="s">
        <v>48</v>
      </c>
      <c r="G20" s="196"/>
      <c r="H20" s="50"/>
      <c r="I20" s="52"/>
      <c r="J20" s="50"/>
      <c r="K20" s="52"/>
      <c r="L20" s="50"/>
      <c r="M20" s="52"/>
      <c r="N20" s="46">
        <v>49967</v>
      </c>
      <c r="O20" s="46"/>
      <c r="P20" s="46">
        <v>51447</v>
      </c>
      <c r="Q20" s="52"/>
      <c r="R20" s="46">
        <v>52743</v>
      </c>
      <c r="S20" s="52"/>
      <c r="T20" s="194">
        <f t="shared" si="2"/>
        <v>2.5190973234590963E-2</v>
      </c>
    </row>
    <row r="21" spans="1:20" x14ac:dyDescent="0.25">
      <c r="A21" s="47" t="s">
        <v>38</v>
      </c>
      <c r="B21" s="220">
        <f t="shared" si="0"/>
        <v>52039</v>
      </c>
      <c r="C21" s="48">
        <f t="shared" ref="C21:C43" si="3">B21/$B$30</f>
        <v>0.96680043101846691</v>
      </c>
      <c r="D21" s="44"/>
      <c r="E21" s="44" t="s">
        <v>38</v>
      </c>
      <c r="G21" s="193"/>
      <c r="H21" s="195">
        <v>47448</v>
      </c>
      <c r="J21" s="46">
        <v>48407</v>
      </c>
      <c r="L21" s="46">
        <v>49375</v>
      </c>
      <c r="N21" s="46">
        <v>48730</v>
      </c>
      <c r="O21" s="46"/>
      <c r="P21" s="46">
        <v>50173</v>
      </c>
      <c r="R21" s="46">
        <v>52039</v>
      </c>
      <c r="T21" s="194">
        <f t="shared" si="2"/>
        <v>3.7191318039583088E-2</v>
      </c>
    </row>
    <row r="22" spans="1:20" x14ac:dyDescent="0.25">
      <c r="A22" s="47" t="s">
        <v>39</v>
      </c>
      <c r="B22" s="220">
        <f t="shared" si="0"/>
        <v>52905</v>
      </c>
      <c r="C22" s="48">
        <f t="shared" si="3"/>
        <v>0.98288930999888535</v>
      </c>
      <c r="D22" s="44"/>
      <c r="E22" s="44" t="s">
        <v>68</v>
      </c>
      <c r="G22" s="188"/>
      <c r="H22" s="195">
        <v>48670</v>
      </c>
      <c r="J22" s="46">
        <v>49653</v>
      </c>
      <c r="L22" s="46">
        <v>50431</v>
      </c>
      <c r="N22" s="46">
        <v>49772</v>
      </c>
      <c r="O22" s="46"/>
      <c r="P22" s="46">
        <v>51246</v>
      </c>
      <c r="R22" s="46">
        <v>52905</v>
      </c>
      <c r="T22" s="194">
        <f t="shared" si="2"/>
        <v>3.2373258400655747E-2</v>
      </c>
    </row>
    <row r="23" spans="1:20" x14ac:dyDescent="0.25">
      <c r="A23" s="47" t="s">
        <v>40</v>
      </c>
      <c r="B23" s="220">
        <f t="shared" si="0"/>
        <v>53014</v>
      </c>
      <c r="C23" s="48">
        <f t="shared" si="3"/>
        <v>0.98491435365808344</v>
      </c>
      <c r="D23" s="44"/>
      <c r="E23" s="44" t="s">
        <v>40</v>
      </c>
      <c r="G23" s="193"/>
      <c r="H23" s="195">
        <v>48731</v>
      </c>
      <c r="J23" s="46">
        <v>49702</v>
      </c>
      <c r="L23" s="46">
        <v>50517</v>
      </c>
      <c r="N23" s="46">
        <v>49856</v>
      </c>
      <c r="O23" s="46"/>
      <c r="P23" s="46">
        <v>51333</v>
      </c>
      <c r="R23" s="46">
        <v>53014</v>
      </c>
      <c r="T23" s="194">
        <f t="shared" si="2"/>
        <v>3.2746965889388857E-2</v>
      </c>
    </row>
    <row r="24" spans="1:20" x14ac:dyDescent="0.25">
      <c r="A24" s="47" t="s">
        <v>41</v>
      </c>
      <c r="B24" s="220">
        <f t="shared" si="0"/>
        <v>51714</v>
      </c>
      <c r="C24" s="48">
        <f t="shared" si="3"/>
        <v>0.9607624568052614</v>
      </c>
      <c r="D24" s="44"/>
      <c r="E24" s="44" t="s">
        <v>69</v>
      </c>
      <c r="G24" s="188"/>
      <c r="H24" s="195">
        <v>46565</v>
      </c>
      <c r="J24" s="46">
        <v>47506</v>
      </c>
      <c r="L24" s="46">
        <v>48702</v>
      </c>
      <c r="N24" s="46">
        <v>48065</v>
      </c>
      <c r="O24" s="46"/>
      <c r="P24" s="46">
        <v>49911</v>
      </c>
      <c r="R24" s="46">
        <v>51714</v>
      </c>
      <c r="T24" s="194">
        <f t="shared" si="2"/>
        <v>3.6124301256236002E-2</v>
      </c>
    </row>
    <row r="25" spans="1:20" x14ac:dyDescent="0.25">
      <c r="A25" s="47" t="s">
        <v>42</v>
      </c>
      <c r="B25" s="220">
        <f t="shared" si="0"/>
        <v>52743</v>
      </c>
      <c r="C25" s="48">
        <f t="shared" si="3"/>
        <v>0.97987961208337981</v>
      </c>
      <c r="D25" s="44"/>
      <c r="E25" s="44" t="s">
        <v>42</v>
      </c>
      <c r="G25" s="188"/>
      <c r="H25" s="195">
        <v>48889</v>
      </c>
      <c r="J25" s="46">
        <v>49877</v>
      </c>
      <c r="L25" s="46">
        <v>50978</v>
      </c>
      <c r="N25" s="46">
        <v>50313</v>
      </c>
      <c r="O25" s="46"/>
      <c r="P25" s="46">
        <v>51802</v>
      </c>
      <c r="R25" s="46">
        <v>52743</v>
      </c>
      <c r="T25" s="194">
        <f t="shared" si="2"/>
        <v>1.8165321802247059E-2</v>
      </c>
    </row>
    <row r="26" spans="1:20" x14ac:dyDescent="0.25">
      <c r="A26" s="47" t="s">
        <v>43</v>
      </c>
      <c r="B26" s="220">
        <f t="shared" si="0"/>
        <v>50956</v>
      </c>
      <c r="C26" s="48">
        <f t="shared" si="3"/>
        <v>0.94668004310184672</v>
      </c>
      <c r="D26" s="44"/>
      <c r="E26" s="44" t="s">
        <v>43</v>
      </c>
      <c r="G26" s="193"/>
      <c r="H26" s="195">
        <v>44860</v>
      </c>
      <c r="J26" s="46">
        <v>45767</v>
      </c>
      <c r="L26" s="46">
        <v>47388</v>
      </c>
      <c r="N26" s="46">
        <v>46769</v>
      </c>
      <c r="O26" s="46"/>
      <c r="P26" s="46">
        <v>48997</v>
      </c>
      <c r="R26" s="46">
        <v>50956</v>
      </c>
      <c r="T26" s="194">
        <f t="shared" si="2"/>
        <v>3.9982039716717432E-2</v>
      </c>
    </row>
    <row r="27" spans="1:20" x14ac:dyDescent="0.25">
      <c r="A27" s="47" t="s">
        <v>44</v>
      </c>
      <c r="B27" s="220">
        <f t="shared" si="0"/>
        <v>52905</v>
      </c>
      <c r="C27" s="48">
        <f t="shared" si="3"/>
        <v>0.98288930999888535</v>
      </c>
      <c r="D27" s="44"/>
      <c r="E27" s="44" t="s">
        <v>70</v>
      </c>
      <c r="G27" s="193"/>
      <c r="H27" s="195">
        <v>48670</v>
      </c>
      <c r="J27" s="46">
        <v>49653</v>
      </c>
      <c r="L27" s="46">
        <v>50431</v>
      </c>
      <c r="N27" s="46">
        <v>49772</v>
      </c>
      <c r="O27" s="46"/>
      <c r="P27" s="46">
        <v>51246</v>
      </c>
      <c r="R27" s="46">
        <v>52905</v>
      </c>
      <c r="T27" s="194">
        <f t="shared" si="2"/>
        <v>3.2373258400655747E-2</v>
      </c>
    </row>
    <row r="28" spans="1:20" x14ac:dyDescent="0.25">
      <c r="A28" s="47" t="s">
        <v>45</v>
      </c>
      <c r="B28" s="220">
        <f t="shared" si="0"/>
        <v>51606</v>
      </c>
      <c r="C28" s="48">
        <f t="shared" si="3"/>
        <v>0.95875599152825774</v>
      </c>
      <c r="D28" s="44"/>
      <c r="E28" s="44" t="s">
        <v>45</v>
      </c>
      <c r="G28" s="193"/>
      <c r="H28" s="195">
        <v>47442</v>
      </c>
      <c r="J28" s="46">
        <v>48401</v>
      </c>
      <c r="L28" s="46">
        <v>49836</v>
      </c>
      <c r="N28" s="46">
        <v>48725</v>
      </c>
      <c r="O28" s="46"/>
      <c r="P28" s="46">
        <v>50168</v>
      </c>
      <c r="R28" s="46">
        <v>51606</v>
      </c>
      <c r="T28" s="194">
        <f t="shared" si="2"/>
        <v>2.8663690001594633E-2</v>
      </c>
    </row>
    <row r="29" spans="1:20" x14ac:dyDescent="0.25">
      <c r="A29" s="47" t="s">
        <v>46</v>
      </c>
      <c r="B29" s="220">
        <f t="shared" si="0"/>
        <v>52905</v>
      </c>
      <c r="C29" s="48">
        <f t="shared" si="3"/>
        <v>0.98288930999888535</v>
      </c>
      <c r="D29" s="44"/>
      <c r="E29" s="44" t="s">
        <v>71</v>
      </c>
      <c r="G29" s="193"/>
      <c r="H29" s="195">
        <v>48670</v>
      </c>
      <c r="J29" s="46">
        <v>49653</v>
      </c>
      <c r="L29" s="46">
        <v>50431</v>
      </c>
      <c r="N29" s="46">
        <v>49772</v>
      </c>
      <c r="O29" s="46"/>
      <c r="P29" s="46">
        <v>51246</v>
      </c>
      <c r="R29" s="46">
        <v>52905</v>
      </c>
      <c r="T29" s="194">
        <f t="shared" si="2"/>
        <v>3.2373258400655747E-2</v>
      </c>
    </row>
    <row r="30" spans="1:20" x14ac:dyDescent="0.25">
      <c r="A30" s="209" t="s">
        <v>47</v>
      </c>
      <c r="B30" s="220">
        <f>R30</f>
        <v>53826</v>
      </c>
      <c r="C30" s="210">
        <f>B30/$B$30</f>
        <v>1</v>
      </c>
      <c r="D30" s="209"/>
      <c r="E30" s="209" t="s">
        <v>47</v>
      </c>
      <c r="F30" s="211"/>
      <c r="G30" s="212"/>
      <c r="H30" s="213">
        <v>49437</v>
      </c>
      <c r="I30" s="211"/>
      <c r="J30" s="213">
        <v>50350</v>
      </c>
      <c r="K30" s="211"/>
      <c r="L30" s="213">
        <v>51357</v>
      </c>
      <c r="M30" s="211"/>
      <c r="N30" s="213">
        <v>50686</v>
      </c>
      <c r="O30" s="213"/>
      <c r="P30" s="213">
        <v>52187</v>
      </c>
      <c r="Q30" s="211"/>
      <c r="R30" s="213">
        <v>53826</v>
      </c>
      <c r="S30" s="211"/>
      <c r="T30" s="194">
        <f>(R30/P30)-1</f>
        <v>3.1406288922528613E-2</v>
      </c>
    </row>
    <row r="31" spans="1:20" x14ac:dyDescent="0.25">
      <c r="A31" s="47" t="s">
        <v>48</v>
      </c>
      <c r="B31" s="220">
        <f t="shared" si="0"/>
        <v>50577</v>
      </c>
      <c r="C31" s="48">
        <f t="shared" si="3"/>
        <v>0.93963883625013933</v>
      </c>
      <c r="D31" s="44"/>
      <c r="E31" s="44" t="s">
        <v>72</v>
      </c>
      <c r="G31" s="188"/>
      <c r="H31" s="195">
        <v>44514</v>
      </c>
      <c r="J31" s="46">
        <v>45414</v>
      </c>
      <c r="L31" s="46">
        <v>47028</v>
      </c>
      <c r="N31" s="46">
        <v>46414</v>
      </c>
      <c r="O31" s="46"/>
      <c r="P31" s="46">
        <v>48632</v>
      </c>
      <c r="R31" s="46">
        <v>50577</v>
      </c>
      <c r="T31" s="194">
        <f t="shared" si="2"/>
        <v>3.9994242474091113E-2</v>
      </c>
    </row>
    <row r="32" spans="1:20" x14ac:dyDescent="0.25">
      <c r="A32" s="47" t="s">
        <v>49</v>
      </c>
      <c r="B32" s="220">
        <f t="shared" si="0"/>
        <v>53339</v>
      </c>
      <c r="C32" s="48">
        <f t="shared" si="3"/>
        <v>0.99095232787128895</v>
      </c>
      <c r="D32" s="44"/>
      <c r="E32" s="44" t="s">
        <v>73</v>
      </c>
      <c r="G32" s="193"/>
      <c r="H32" s="195">
        <v>49024</v>
      </c>
      <c r="J32" s="46">
        <v>49934</v>
      </c>
      <c r="L32" s="46">
        <v>50941</v>
      </c>
      <c r="N32" s="46">
        <v>50275</v>
      </c>
      <c r="O32" s="46"/>
      <c r="P32" s="46">
        <v>51764</v>
      </c>
      <c r="R32" s="46">
        <v>53339</v>
      </c>
      <c r="T32" s="194">
        <f t="shared" si="2"/>
        <v>3.0426551271153679E-2</v>
      </c>
    </row>
    <row r="33" spans="1:20" x14ac:dyDescent="0.25">
      <c r="A33" s="47" t="s">
        <v>51</v>
      </c>
      <c r="B33" s="220">
        <f t="shared" si="0"/>
        <v>52743</v>
      </c>
      <c r="C33" s="48">
        <f>B33/$B$30</f>
        <v>0.97987961208337981</v>
      </c>
      <c r="D33" s="44"/>
      <c r="E33" s="44" t="s">
        <v>51</v>
      </c>
      <c r="G33" s="188"/>
      <c r="H33" s="195">
        <v>48889</v>
      </c>
      <c r="J33" s="46">
        <v>49877</v>
      </c>
      <c r="L33" s="46">
        <v>50978</v>
      </c>
      <c r="N33" s="46">
        <v>50312</v>
      </c>
      <c r="O33" s="46"/>
      <c r="P33" s="46">
        <v>51802</v>
      </c>
      <c r="R33" s="46">
        <v>52743</v>
      </c>
      <c r="T33" s="194">
        <f t="shared" si="2"/>
        <v>1.8165321802247059E-2</v>
      </c>
    </row>
    <row r="34" spans="1:20" x14ac:dyDescent="0.25">
      <c r="A34" s="47" t="s">
        <v>52</v>
      </c>
      <c r="B34" s="220">
        <f t="shared" si="0"/>
        <v>51714</v>
      </c>
      <c r="C34" s="48">
        <f t="shared" si="3"/>
        <v>0.9607624568052614</v>
      </c>
      <c r="D34" s="44"/>
      <c r="E34" s="44" t="s">
        <v>74</v>
      </c>
      <c r="G34" s="193"/>
      <c r="H34" s="195">
        <v>46565</v>
      </c>
      <c r="J34" s="46">
        <v>47506</v>
      </c>
      <c r="L34" s="46">
        <v>48702</v>
      </c>
      <c r="N34" s="46">
        <v>48065</v>
      </c>
      <c r="O34" s="46"/>
      <c r="P34" s="46">
        <v>49911</v>
      </c>
      <c r="R34" s="46">
        <v>51714</v>
      </c>
      <c r="T34" s="194">
        <f t="shared" si="2"/>
        <v>3.6124301256236002E-2</v>
      </c>
    </row>
    <row r="35" spans="1:20" x14ac:dyDescent="0.25">
      <c r="A35" s="47" t="s">
        <v>53</v>
      </c>
      <c r="B35" s="220">
        <f t="shared" si="0"/>
        <v>52743</v>
      </c>
      <c r="C35" s="48">
        <f t="shared" si="3"/>
        <v>0.97987961208337981</v>
      </c>
      <c r="D35" s="44"/>
      <c r="E35" s="44" t="s">
        <v>75</v>
      </c>
      <c r="G35" s="188"/>
      <c r="H35" s="195">
        <v>49304</v>
      </c>
      <c r="J35" s="46">
        <v>49884</v>
      </c>
      <c r="L35" s="46">
        <v>50639</v>
      </c>
      <c r="N35" s="46">
        <v>49977</v>
      </c>
      <c r="O35" s="46"/>
      <c r="P35" s="46">
        <v>51457</v>
      </c>
      <c r="R35" s="46">
        <v>52743</v>
      </c>
      <c r="T35" s="194">
        <f t="shared" si="2"/>
        <v>2.4991740676681529E-2</v>
      </c>
    </row>
    <row r="36" spans="1:20" x14ac:dyDescent="0.25">
      <c r="A36" s="47" t="s">
        <v>54</v>
      </c>
      <c r="B36" s="220">
        <f t="shared" si="0"/>
        <v>52905</v>
      </c>
      <c r="C36" s="48">
        <f t="shared" si="3"/>
        <v>0.98288930999888535</v>
      </c>
      <c r="D36" s="44"/>
      <c r="E36" s="44" t="s">
        <v>76</v>
      </c>
      <c r="G36" s="188"/>
      <c r="H36" s="195">
        <v>48670</v>
      </c>
      <c r="J36" s="46">
        <v>49653</v>
      </c>
      <c r="L36" s="46">
        <v>50431</v>
      </c>
      <c r="N36" s="46">
        <v>49772</v>
      </c>
      <c r="O36" s="46"/>
      <c r="P36" s="46">
        <v>51246</v>
      </c>
      <c r="R36" s="46">
        <v>52905</v>
      </c>
      <c r="T36" s="194">
        <f t="shared" si="2"/>
        <v>3.2373258400655747E-2</v>
      </c>
    </row>
    <row r="37" spans="1:20" x14ac:dyDescent="0.25">
      <c r="A37" s="47" t="s">
        <v>55</v>
      </c>
      <c r="B37" s="220">
        <f t="shared" si="0"/>
        <v>53393</v>
      </c>
      <c r="C37" s="48">
        <f t="shared" si="3"/>
        <v>0.99195556050979083</v>
      </c>
      <c r="D37" s="44"/>
      <c r="E37" s="44" t="s">
        <v>55</v>
      </c>
      <c r="G37" s="193"/>
      <c r="H37" s="195">
        <v>49039</v>
      </c>
      <c r="J37" s="46">
        <v>49943</v>
      </c>
      <c r="L37" s="46">
        <v>50942</v>
      </c>
      <c r="N37" s="46">
        <v>50276</v>
      </c>
      <c r="O37" s="46"/>
      <c r="P37" s="46">
        <v>50970</v>
      </c>
      <c r="R37" s="46">
        <v>53393</v>
      </c>
      <c r="T37" s="194">
        <f t="shared" si="2"/>
        <v>4.7537767314106416E-2</v>
      </c>
    </row>
    <row r="38" spans="1:20" x14ac:dyDescent="0.25">
      <c r="A38" s="47" t="s">
        <v>56</v>
      </c>
      <c r="B38" s="220">
        <f t="shared" si="0"/>
        <v>50523</v>
      </c>
      <c r="C38" s="48">
        <f t="shared" si="3"/>
        <v>0.93863560361163745</v>
      </c>
      <c r="D38" s="44"/>
      <c r="E38" s="44" t="s">
        <v>77</v>
      </c>
      <c r="G38" s="193"/>
      <c r="H38" s="195">
        <v>44487</v>
      </c>
      <c r="J38" s="46">
        <v>45386</v>
      </c>
      <c r="L38" s="46">
        <v>47001</v>
      </c>
      <c r="N38" s="46">
        <v>46386</v>
      </c>
      <c r="O38" s="46"/>
      <c r="P38" s="46">
        <v>48604</v>
      </c>
      <c r="R38" s="46">
        <v>50523</v>
      </c>
      <c r="T38" s="194">
        <f t="shared" si="2"/>
        <v>3.9482347131923223E-2</v>
      </c>
    </row>
    <row r="39" spans="1:20" x14ac:dyDescent="0.25">
      <c r="A39" s="47" t="s">
        <v>57</v>
      </c>
      <c r="B39" s="220">
        <f t="shared" si="0"/>
        <v>52689</v>
      </c>
      <c r="C39" s="48">
        <f t="shared" si="3"/>
        <v>0.97887637944487793</v>
      </c>
      <c r="D39" s="44"/>
      <c r="E39" s="44" t="s">
        <v>78</v>
      </c>
      <c r="G39" s="188"/>
      <c r="H39" s="195">
        <v>49068</v>
      </c>
      <c r="J39" s="46">
        <v>49790</v>
      </c>
      <c r="L39" s="46">
        <v>50737</v>
      </c>
      <c r="N39" s="46">
        <v>50073</v>
      </c>
      <c r="O39" s="46"/>
      <c r="P39" s="46">
        <v>51556</v>
      </c>
      <c r="R39" s="46">
        <v>52689</v>
      </c>
      <c r="T39" s="194">
        <f t="shared" si="2"/>
        <v>2.1976103654278933E-2</v>
      </c>
    </row>
    <row r="40" spans="1:20" x14ac:dyDescent="0.25">
      <c r="A40" s="47" t="s">
        <v>58</v>
      </c>
      <c r="B40" s="220">
        <f t="shared" si="0"/>
        <v>53393</v>
      </c>
      <c r="C40" s="48">
        <f t="shared" si="3"/>
        <v>0.99195556050979083</v>
      </c>
      <c r="D40" s="44"/>
      <c r="E40" s="44" t="s">
        <v>79</v>
      </c>
      <c r="G40" s="188"/>
      <c r="H40" s="195">
        <v>49039</v>
      </c>
      <c r="J40" s="46">
        <v>49943</v>
      </c>
      <c r="L40" s="46">
        <v>50942</v>
      </c>
      <c r="N40" s="46">
        <v>50276</v>
      </c>
      <c r="O40" s="46"/>
      <c r="P40" s="46">
        <v>51765</v>
      </c>
      <c r="R40" s="46">
        <v>53393</v>
      </c>
      <c r="T40" s="194">
        <f t="shared" si="2"/>
        <v>3.1449821307833581E-2</v>
      </c>
    </row>
    <row r="41" spans="1:20" x14ac:dyDescent="0.25">
      <c r="A41" s="47" t="s">
        <v>59</v>
      </c>
      <c r="B41" s="220">
        <f t="shared" si="0"/>
        <v>53609</v>
      </c>
      <c r="C41" s="48">
        <f t="shared" si="3"/>
        <v>0.99596849106379814</v>
      </c>
      <c r="D41" s="44"/>
      <c r="E41" s="44" t="s">
        <v>59</v>
      </c>
      <c r="G41" s="188"/>
      <c r="H41" s="195">
        <v>49251</v>
      </c>
      <c r="J41" s="46">
        <v>50160</v>
      </c>
      <c r="L41" s="46">
        <v>51164</v>
      </c>
      <c r="N41" s="46">
        <v>50495</v>
      </c>
      <c r="O41" s="46"/>
      <c r="P41" s="46">
        <v>51990</v>
      </c>
      <c r="R41" s="46">
        <v>53609</v>
      </c>
      <c r="T41" s="194">
        <f t="shared" si="2"/>
        <v>3.1140603962300339E-2</v>
      </c>
    </row>
    <row r="42" spans="1:20" x14ac:dyDescent="0.25">
      <c r="A42" s="47" t="s">
        <v>60</v>
      </c>
      <c r="B42" s="220">
        <f t="shared" si="0"/>
        <v>52039</v>
      </c>
      <c r="C42" s="48">
        <f t="shared" si="3"/>
        <v>0.96680043101846691</v>
      </c>
      <c r="D42" s="44"/>
      <c r="E42" s="44" t="s">
        <v>80</v>
      </c>
      <c r="G42" s="193"/>
      <c r="H42" s="195">
        <v>47448</v>
      </c>
      <c r="J42" s="46">
        <v>48407</v>
      </c>
      <c r="L42" s="46">
        <v>49375</v>
      </c>
      <c r="N42" s="46">
        <v>48730</v>
      </c>
      <c r="O42" s="46"/>
      <c r="P42" s="46">
        <v>50173</v>
      </c>
      <c r="R42" s="46">
        <v>52039</v>
      </c>
      <c r="T42" s="194">
        <f t="shared" si="2"/>
        <v>3.7191318039583088E-2</v>
      </c>
    </row>
    <row r="43" spans="1:20" x14ac:dyDescent="0.25">
      <c r="A43" s="47" t="s">
        <v>61</v>
      </c>
      <c r="B43" s="220">
        <f t="shared" si="0"/>
        <v>52039</v>
      </c>
      <c r="C43" s="48">
        <f t="shared" si="3"/>
        <v>0.96680043101846691</v>
      </c>
      <c r="D43" s="44"/>
      <c r="E43" s="44" t="s">
        <v>81</v>
      </c>
      <c r="G43" s="188"/>
      <c r="H43" s="195">
        <v>47537</v>
      </c>
      <c r="J43" s="46">
        <v>48498</v>
      </c>
      <c r="L43" s="46">
        <v>49469</v>
      </c>
      <c r="N43" s="46">
        <v>48822</v>
      </c>
      <c r="O43" s="46"/>
      <c r="P43" s="46">
        <v>50268</v>
      </c>
      <c r="R43" s="46">
        <v>52039</v>
      </c>
      <c r="T43" s="194">
        <f t="shared" si="2"/>
        <v>3.5231160977162501E-2</v>
      </c>
    </row>
    <row r="44" spans="1:20" x14ac:dyDescent="0.25">
      <c r="G44" s="197" t="s">
        <v>185</v>
      </c>
      <c r="H44" s="198">
        <f>AVERAGE(H13:H43)</f>
        <v>47893.133333333331</v>
      </c>
      <c r="I44" s="199"/>
      <c r="J44" s="198">
        <f>AVERAGE(J13:J43)</f>
        <v>48822.7</v>
      </c>
      <c r="K44" s="199"/>
      <c r="L44" s="198">
        <f>AVERAGE(L13:L43)</f>
        <v>49861.3</v>
      </c>
      <c r="M44" s="199"/>
      <c r="N44" s="198">
        <f>AVERAGE(N13:N43)</f>
        <v>49219.161290322583</v>
      </c>
      <c r="O44" s="199"/>
      <c r="P44" s="198">
        <f>AVERAGE(P13:P43)</f>
        <v>50787.322580645159</v>
      </c>
      <c r="Q44" s="199"/>
      <c r="R44" s="198">
        <f>AVERAGE(R13:R43)</f>
        <v>52440.741935483871</v>
      </c>
      <c r="S44" s="199"/>
      <c r="T44" s="200">
        <f>AVERAGE(T13:T43)</f>
        <v>3.2629757029024695E-2</v>
      </c>
    </row>
    <row r="45" spans="1:20" x14ac:dyDescent="0.25">
      <c r="A45" s="43" t="s">
        <v>100</v>
      </c>
      <c r="B45" s="44">
        <v>0</v>
      </c>
      <c r="C45" s="44">
        <v>0</v>
      </c>
      <c r="D45" s="44">
        <v>0</v>
      </c>
      <c r="G45" s="193"/>
      <c r="T45" s="190"/>
    </row>
    <row r="46" spans="1:20" x14ac:dyDescent="0.25">
      <c r="A46" s="47" t="s">
        <v>89</v>
      </c>
      <c r="B46" s="44">
        <v>0</v>
      </c>
      <c r="C46" s="44">
        <v>0</v>
      </c>
      <c r="D46" s="44">
        <v>0</v>
      </c>
      <c r="G46" s="193"/>
      <c r="H46" s="45"/>
      <c r="T46" s="190"/>
    </row>
    <row r="47" spans="1:20" x14ac:dyDescent="0.25">
      <c r="A47" s="51" t="s">
        <v>101</v>
      </c>
      <c r="B47" s="44">
        <v>0</v>
      </c>
      <c r="C47" s="44">
        <v>0</v>
      </c>
      <c r="D47" s="44">
        <v>0</v>
      </c>
      <c r="G47" s="201" t="s">
        <v>183</v>
      </c>
      <c r="H47" s="202">
        <v>44519</v>
      </c>
      <c r="I47" s="202"/>
      <c r="J47" s="202">
        <v>45231</v>
      </c>
      <c r="K47" s="202"/>
      <c r="L47" s="202">
        <v>46588</v>
      </c>
      <c r="M47" s="202"/>
      <c r="N47" s="202">
        <v>48521</v>
      </c>
      <c r="O47" s="202"/>
      <c r="P47" s="202">
        <v>50510</v>
      </c>
      <c r="Q47" s="202"/>
      <c r="R47" s="203">
        <v>50510</v>
      </c>
      <c r="S47" s="202"/>
      <c r="T47" s="204"/>
    </row>
    <row r="48" spans="1:20" x14ac:dyDescent="0.25">
      <c r="A48" s="44" t="s">
        <v>83</v>
      </c>
      <c r="B48" s="44">
        <v>10</v>
      </c>
      <c r="C48" s="44">
        <v>5</v>
      </c>
      <c r="D48" s="44">
        <v>0</v>
      </c>
      <c r="G48" s="205" t="s">
        <v>184</v>
      </c>
      <c r="H48" s="206">
        <f>H47-H44</f>
        <v>-3374.1333333333314</v>
      </c>
      <c r="I48" s="206"/>
      <c r="J48" s="206">
        <f>J47-J44</f>
        <v>-3591.6999999999971</v>
      </c>
      <c r="K48" s="206"/>
      <c r="L48" s="206">
        <f>L47-L44</f>
        <v>-3273.3000000000029</v>
      </c>
      <c r="M48" s="206"/>
      <c r="N48" s="206">
        <f>N47-N44</f>
        <v>-698.16129032258323</v>
      </c>
      <c r="O48" s="206"/>
      <c r="P48" s="206">
        <f>P47-P44</f>
        <v>-277.32258064515918</v>
      </c>
      <c r="Q48" s="206"/>
      <c r="R48" s="206">
        <f>R47-R44</f>
        <v>-1930.7419354838712</v>
      </c>
      <c r="S48" s="206"/>
      <c r="T48" s="207"/>
    </row>
    <row r="49" spans="1:18" x14ac:dyDescent="0.25">
      <c r="A49" s="44" t="s">
        <v>84</v>
      </c>
      <c r="B49" s="44">
        <v>20</v>
      </c>
      <c r="C49" s="44">
        <v>10</v>
      </c>
      <c r="D49" s="44">
        <v>0</v>
      </c>
    </row>
    <row r="50" spans="1:18" x14ac:dyDescent="0.25">
      <c r="A50" s="44" t="s">
        <v>85</v>
      </c>
      <c r="B50" s="44">
        <v>30</v>
      </c>
      <c r="C50" s="44">
        <v>15</v>
      </c>
      <c r="D50" s="44">
        <v>0</v>
      </c>
    </row>
    <row r="51" spans="1:18" x14ac:dyDescent="0.25">
      <c r="A51" s="44" t="s">
        <v>86</v>
      </c>
      <c r="B51" s="44">
        <v>40</v>
      </c>
      <c r="C51" s="44">
        <v>20</v>
      </c>
      <c r="D51" s="44">
        <v>0</v>
      </c>
    </row>
    <row r="52" spans="1:18" x14ac:dyDescent="0.25">
      <c r="A52" s="44" t="s">
        <v>87</v>
      </c>
      <c r="B52" s="44">
        <v>50</v>
      </c>
      <c r="C52" s="44">
        <v>25</v>
      </c>
      <c r="D52" s="44">
        <v>0</v>
      </c>
    </row>
    <row r="53" spans="1:18" x14ac:dyDescent="0.25">
      <c r="A53" s="44" t="s">
        <v>88</v>
      </c>
      <c r="B53" s="44">
        <v>60</v>
      </c>
      <c r="C53" s="44">
        <v>30</v>
      </c>
      <c r="D53" s="44">
        <v>0</v>
      </c>
      <c r="H53" s="222">
        <v>45513</v>
      </c>
    </row>
    <row r="54" spans="1:18" x14ac:dyDescent="0.25">
      <c r="G54" s="208" t="s">
        <v>190</v>
      </c>
      <c r="H54" s="220">
        <v>52827.7</v>
      </c>
      <c r="J54" s="45" t="s">
        <v>194</v>
      </c>
      <c r="N54" s="45" t="s">
        <v>200</v>
      </c>
    </row>
    <row r="55" spans="1:18" x14ac:dyDescent="0.25">
      <c r="A55" s="43" t="s">
        <v>102</v>
      </c>
      <c r="B55" s="44">
        <v>0</v>
      </c>
      <c r="C55" s="44">
        <v>0</v>
      </c>
      <c r="G55" s="208" t="s">
        <v>191</v>
      </c>
      <c r="H55" s="220">
        <v>48520</v>
      </c>
      <c r="J55" s="45" t="s">
        <v>203</v>
      </c>
      <c r="N55" s="45" t="s">
        <v>202</v>
      </c>
    </row>
    <row r="56" spans="1:18" x14ac:dyDescent="0.25">
      <c r="A56" s="44" t="s">
        <v>27</v>
      </c>
      <c r="B56" s="44">
        <v>0</v>
      </c>
      <c r="C56" s="44">
        <v>0</v>
      </c>
      <c r="G56" s="208" t="s">
        <v>192</v>
      </c>
      <c r="H56" s="220">
        <v>49027</v>
      </c>
      <c r="J56" s="45" t="s">
        <v>193</v>
      </c>
      <c r="N56" s="45" t="s">
        <v>201</v>
      </c>
    </row>
    <row r="57" spans="1:18" x14ac:dyDescent="0.25">
      <c r="A57" s="44" t="s">
        <v>92</v>
      </c>
      <c r="B57" s="44">
        <v>15</v>
      </c>
      <c r="C57" s="44">
        <v>7.5</v>
      </c>
    </row>
    <row r="58" spans="1:18" x14ac:dyDescent="0.25">
      <c r="A58" s="44" t="s">
        <v>93</v>
      </c>
      <c r="B58" s="44">
        <v>20</v>
      </c>
      <c r="C58" s="44">
        <v>10</v>
      </c>
      <c r="G58" s="208" t="s">
        <v>185</v>
      </c>
      <c r="H58" s="50">
        <f>AVERAGE(H54:H56)</f>
        <v>50124.9</v>
      </c>
    </row>
    <row r="59" spans="1:18" x14ac:dyDescent="0.25">
      <c r="A59" s="44" t="s">
        <v>94</v>
      </c>
      <c r="B59" s="44">
        <v>25</v>
      </c>
      <c r="C59" s="44">
        <v>12.5</v>
      </c>
      <c r="G59" s="49"/>
    </row>
    <row r="60" spans="1:18" x14ac:dyDescent="0.25">
      <c r="G60" s="49"/>
    </row>
    <row r="61" spans="1:18" x14ac:dyDescent="0.25">
      <c r="B61" s="52" t="s">
        <v>98</v>
      </c>
      <c r="C61" s="52" t="s">
        <v>99</v>
      </c>
      <c r="G61" s="49"/>
    </row>
    <row r="62" spans="1:18" x14ac:dyDescent="0.25">
      <c r="A62" s="43" t="s">
        <v>26</v>
      </c>
      <c r="B62" s="44">
        <v>0</v>
      </c>
      <c r="C62" s="44">
        <v>0</v>
      </c>
      <c r="G62" s="49"/>
    </row>
    <row r="63" spans="1:18" x14ac:dyDescent="0.25">
      <c r="A63" s="44" t="s">
        <v>28</v>
      </c>
      <c r="B63" s="48">
        <v>7.65</v>
      </c>
      <c r="C63" s="44">
        <v>10</v>
      </c>
      <c r="P63" s="217"/>
      <c r="R63" s="217"/>
    </row>
    <row r="64" spans="1:18" x14ac:dyDescent="0.25">
      <c r="A64" s="44" t="s">
        <v>29</v>
      </c>
      <c r="B64" s="44"/>
      <c r="C64" s="44">
        <v>0</v>
      </c>
      <c r="P64" s="218"/>
      <c r="R64" s="218"/>
    </row>
    <row r="65" spans="1:18" x14ac:dyDescent="0.25">
      <c r="P65" s="214"/>
      <c r="R65" s="214"/>
    </row>
    <row r="66" spans="1:18" x14ac:dyDescent="0.25">
      <c r="A66" s="43" t="s">
        <v>106</v>
      </c>
    </row>
    <row r="67" spans="1:18" x14ac:dyDescent="0.25">
      <c r="A67" s="53">
        <v>100</v>
      </c>
      <c r="P67" s="46"/>
      <c r="R67" s="46"/>
    </row>
    <row r="68" spans="1:18" x14ac:dyDescent="0.25">
      <c r="A68" s="53">
        <v>125</v>
      </c>
      <c r="G68" s="49"/>
    </row>
    <row r="69" spans="1:18" x14ac:dyDescent="0.25">
      <c r="A69" s="53">
        <f>A68-1</f>
        <v>124</v>
      </c>
      <c r="G69" s="49"/>
    </row>
    <row r="70" spans="1:18" x14ac:dyDescent="0.25">
      <c r="A70" s="53">
        <f t="shared" ref="A70:A118" si="4">A69-1</f>
        <v>123</v>
      </c>
    </row>
    <row r="71" spans="1:18" x14ac:dyDescent="0.25">
      <c r="A71" s="53">
        <f t="shared" si="4"/>
        <v>122</v>
      </c>
      <c r="G71" s="49"/>
    </row>
    <row r="72" spans="1:18" x14ac:dyDescent="0.25">
      <c r="A72" s="53">
        <f t="shared" si="4"/>
        <v>121</v>
      </c>
      <c r="I72" s="46"/>
      <c r="J72" s="46"/>
      <c r="K72" s="46"/>
      <c r="L72" s="46"/>
      <c r="M72" s="46"/>
      <c r="N72" s="46"/>
      <c r="O72" s="46"/>
      <c r="P72" s="46"/>
      <c r="R72" s="46"/>
    </row>
    <row r="73" spans="1:18" x14ac:dyDescent="0.25">
      <c r="A73" s="53">
        <f t="shared" si="4"/>
        <v>120</v>
      </c>
      <c r="I73" s="46"/>
      <c r="J73" s="46"/>
      <c r="K73" s="46"/>
      <c r="L73" s="46"/>
      <c r="M73" s="46"/>
      <c r="N73" s="46"/>
      <c r="O73" s="46"/>
      <c r="P73" s="46"/>
      <c r="R73" s="46"/>
    </row>
    <row r="74" spans="1:18" x14ac:dyDescent="0.25">
      <c r="A74" s="53">
        <f t="shared" si="4"/>
        <v>119</v>
      </c>
      <c r="G74" s="49"/>
      <c r="I74" s="46"/>
      <c r="J74" s="46"/>
      <c r="K74" s="46"/>
      <c r="L74" s="46"/>
      <c r="M74" s="46"/>
      <c r="N74" s="46"/>
      <c r="O74" s="46"/>
      <c r="P74" s="46"/>
      <c r="R74" s="46"/>
    </row>
    <row r="75" spans="1:18" x14ac:dyDescent="0.25">
      <c r="A75" s="53">
        <f t="shared" si="4"/>
        <v>118</v>
      </c>
      <c r="I75" s="46"/>
      <c r="J75" s="46"/>
      <c r="K75" s="46"/>
      <c r="L75" s="46"/>
      <c r="M75" s="46"/>
      <c r="N75" s="46"/>
      <c r="O75" s="46"/>
      <c r="P75" s="46"/>
      <c r="R75" s="46"/>
    </row>
    <row r="76" spans="1:18" x14ac:dyDescent="0.25">
      <c r="A76" s="53">
        <f t="shared" si="4"/>
        <v>117</v>
      </c>
      <c r="I76" s="46"/>
      <c r="J76" s="46"/>
      <c r="K76" s="46"/>
      <c r="L76" s="46"/>
      <c r="M76" s="46"/>
      <c r="N76" s="46"/>
      <c r="O76" s="46"/>
      <c r="P76" s="46"/>
      <c r="R76" s="46"/>
    </row>
    <row r="77" spans="1:18" x14ac:dyDescent="0.25">
      <c r="A77" s="53">
        <f t="shared" si="4"/>
        <v>116</v>
      </c>
      <c r="I77" s="46"/>
      <c r="J77" s="46"/>
      <c r="K77" s="46"/>
      <c r="L77" s="46"/>
      <c r="M77" s="46"/>
      <c r="N77" s="46"/>
      <c r="O77" s="46"/>
      <c r="P77" s="46"/>
      <c r="R77" s="46"/>
    </row>
    <row r="78" spans="1:18" x14ac:dyDescent="0.25">
      <c r="A78" s="53">
        <f t="shared" si="4"/>
        <v>115</v>
      </c>
      <c r="I78" s="46"/>
      <c r="J78" s="46"/>
      <c r="K78" s="46"/>
      <c r="L78" s="46"/>
      <c r="M78" s="46"/>
      <c r="N78" s="46"/>
      <c r="O78" s="46"/>
      <c r="P78" s="46"/>
      <c r="R78" s="46"/>
    </row>
    <row r="79" spans="1:18" x14ac:dyDescent="0.25">
      <c r="A79" s="53">
        <f t="shared" si="4"/>
        <v>114</v>
      </c>
      <c r="I79" s="46"/>
      <c r="J79" s="46"/>
      <c r="K79" s="46"/>
      <c r="L79" s="46"/>
      <c r="M79" s="46"/>
      <c r="N79" s="46"/>
      <c r="O79" s="46"/>
      <c r="P79" s="46"/>
      <c r="R79" s="46"/>
    </row>
    <row r="80" spans="1:18" x14ac:dyDescent="0.25">
      <c r="A80" s="53">
        <f t="shared" si="4"/>
        <v>113</v>
      </c>
      <c r="I80" s="46"/>
      <c r="J80" s="46"/>
      <c r="K80" s="46"/>
      <c r="L80" s="46"/>
      <c r="M80" s="46"/>
      <c r="N80" s="46"/>
      <c r="O80" s="46"/>
      <c r="P80" s="46"/>
      <c r="R80" s="46"/>
    </row>
    <row r="81" spans="1:1" x14ac:dyDescent="0.25">
      <c r="A81" s="53">
        <f t="shared" si="4"/>
        <v>112</v>
      </c>
    </row>
    <row r="82" spans="1:1" x14ac:dyDescent="0.25">
      <c r="A82" s="53">
        <f t="shared" si="4"/>
        <v>111</v>
      </c>
    </row>
    <row r="83" spans="1:1" x14ac:dyDescent="0.25">
      <c r="A83" s="53">
        <f t="shared" si="4"/>
        <v>110</v>
      </c>
    </row>
    <row r="84" spans="1:1" x14ac:dyDescent="0.25">
      <c r="A84" s="53">
        <f t="shared" si="4"/>
        <v>109</v>
      </c>
    </row>
    <row r="85" spans="1:1" x14ac:dyDescent="0.25">
      <c r="A85" s="53">
        <f t="shared" si="4"/>
        <v>108</v>
      </c>
    </row>
    <row r="86" spans="1:1" x14ac:dyDescent="0.25">
      <c r="A86" s="53">
        <f t="shared" si="4"/>
        <v>107</v>
      </c>
    </row>
    <row r="87" spans="1:1" x14ac:dyDescent="0.25">
      <c r="A87" s="53">
        <f t="shared" si="4"/>
        <v>106</v>
      </c>
    </row>
    <row r="88" spans="1:1" x14ac:dyDescent="0.25">
      <c r="A88" s="53">
        <f t="shared" si="4"/>
        <v>105</v>
      </c>
    </row>
    <row r="89" spans="1:1" x14ac:dyDescent="0.25">
      <c r="A89" s="53">
        <f t="shared" si="4"/>
        <v>104</v>
      </c>
    </row>
    <row r="90" spans="1:1" x14ac:dyDescent="0.25">
      <c r="A90" s="53">
        <f t="shared" si="4"/>
        <v>103</v>
      </c>
    </row>
    <row r="91" spans="1:1" x14ac:dyDescent="0.25">
      <c r="A91" s="53">
        <f t="shared" si="4"/>
        <v>102</v>
      </c>
    </row>
    <row r="92" spans="1:1" x14ac:dyDescent="0.25">
      <c r="A92" s="53">
        <f t="shared" si="4"/>
        <v>101</v>
      </c>
    </row>
    <row r="93" spans="1:1" x14ac:dyDescent="0.25">
      <c r="A93" s="53">
        <f t="shared" si="4"/>
        <v>100</v>
      </c>
    </row>
    <row r="94" spans="1:1" x14ac:dyDescent="0.25">
      <c r="A94" s="53">
        <f t="shared" si="4"/>
        <v>99</v>
      </c>
    </row>
    <row r="95" spans="1:1" x14ac:dyDescent="0.25">
      <c r="A95" s="53">
        <f t="shared" si="4"/>
        <v>98</v>
      </c>
    </row>
    <row r="96" spans="1:1" x14ac:dyDescent="0.25">
      <c r="A96" s="53">
        <f t="shared" si="4"/>
        <v>97</v>
      </c>
    </row>
    <row r="97" spans="1:1" x14ac:dyDescent="0.25">
      <c r="A97" s="53">
        <f t="shared" si="4"/>
        <v>96</v>
      </c>
    </row>
    <row r="98" spans="1:1" x14ac:dyDescent="0.25">
      <c r="A98" s="53">
        <f t="shared" si="4"/>
        <v>95</v>
      </c>
    </row>
    <row r="99" spans="1:1" x14ac:dyDescent="0.25">
      <c r="A99" s="53">
        <f t="shared" si="4"/>
        <v>94</v>
      </c>
    </row>
    <row r="100" spans="1:1" x14ac:dyDescent="0.25">
      <c r="A100" s="53">
        <f t="shared" si="4"/>
        <v>93</v>
      </c>
    </row>
    <row r="101" spans="1:1" x14ac:dyDescent="0.25">
      <c r="A101" s="53">
        <f t="shared" si="4"/>
        <v>92</v>
      </c>
    </row>
    <row r="102" spans="1:1" x14ac:dyDescent="0.25">
      <c r="A102" s="53">
        <f t="shared" si="4"/>
        <v>91</v>
      </c>
    </row>
    <row r="103" spans="1:1" x14ac:dyDescent="0.25">
      <c r="A103" s="53">
        <f t="shared" si="4"/>
        <v>90</v>
      </c>
    </row>
    <row r="104" spans="1:1" x14ac:dyDescent="0.25">
      <c r="A104" s="53">
        <f t="shared" si="4"/>
        <v>89</v>
      </c>
    </row>
    <row r="105" spans="1:1" x14ac:dyDescent="0.25">
      <c r="A105" s="53">
        <f t="shared" si="4"/>
        <v>88</v>
      </c>
    </row>
    <row r="106" spans="1:1" x14ac:dyDescent="0.25">
      <c r="A106" s="53">
        <f t="shared" si="4"/>
        <v>87</v>
      </c>
    </row>
    <row r="107" spans="1:1" x14ac:dyDescent="0.25">
      <c r="A107" s="53">
        <f t="shared" si="4"/>
        <v>86</v>
      </c>
    </row>
    <row r="108" spans="1:1" x14ac:dyDescent="0.25">
      <c r="A108" s="53">
        <f t="shared" si="4"/>
        <v>85</v>
      </c>
    </row>
    <row r="109" spans="1:1" x14ac:dyDescent="0.25">
      <c r="A109" s="53">
        <f t="shared" si="4"/>
        <v>84</v>
      </c>
    </row>
    <row r="110" spans="1:1" x14ac:dyDescent="0.25">
      <c r="A110" s="53">
        <f t="shared" si="4"/>
        <v>83</v>
      </c>
    </row>
    <row r="111" spans="1:1" x14ac:dyDescent="0.25">
      <c r="A111" s="53">
        <f t="shared" si="4"/>
        <v>82</v>
      </c>
    </row>
    <row r="112" spans="1:1" x14ac:dyDescent="0.25">
      <c r="A112" s="53">
        <f t="shared" si="4"/>
        <v>81</v>
      </c>
    </row>
    <row r="113" spans="1:1" x14ac:dyDescent="0.25">
      <c r="A113" s="53">
        <f t="shared" si="4"/>
        <v>80</v>
      </c>
    </row>
    <row r="114" spans="1:1" x14ac:dyDescent="0.25">
      <c r="A114" s="53">
        <f t="shared" si="4"/>
        <v>79</v>
      </c>
    </row>
    <row r="115" spans="1:1" x14ac:dyDescent="0.25">
      <c r="A115" s="53">
        <f t="shared" si="4"/>
        <v>78</v>
      </c>
    </row>
    <row r="116" spans="1:1" x14ac:dyDescent="0.25">
      <c r="A116" s="53">
        <f t="shared" si="4"/>
        <v>77</v>
      </c>
    </row>
    <row r="117" spans="1:1" x14ac:dyDescent="0.25">
      <c r="A117" s="53">
        <f t="shared" si="4"/>
        <v>76</v>
      </c>
    </row>
    <row r="118" spans="1:1" x14ac:dyDescent="0.25">
      <c r="A118" s="53">
        <f t="shared" si="4"/>
        <v>75</v>
      </c>
    </row>
    <row r="122" spans="1:1" x14ac:dyDescent="0.25">
      <c r="A122" s="45" t="s">
        <v>134</v>
      </c>
    </row>
  </sheetData>
  <conditionalFormatting sqref="T13:T43">
    <cfRule type="colorScale" priority="1">
      <colorScale>
        <cfvo type="min"/>
        <cfvo type="percentile" val="50"/>
        <cfvo type="max"/>
        <color rgb="FFF8696B"/>
        <color rgb="FFFFEB84"/>
        <color rgb="FF63BE7B"/>
      </colorScale>
    </cfRule>
    <cfRule type="colorScale" priority="2">
      <colorScale>
        <cfvo type="min"/>
        <cfvo type="max"/>
        <color rgb="FFFCFCFF"/>
        <color rgb="FF63BE7B"/>
      </colorScale>
    </cfRule>
  </conditionalFormatting>
  <hyperlinks>
    <hyperlink ref="H8" r:id="rId1" xr:uid="{8EB79D2E-9DA7-49B1-B4BD-88293794D973}"/>
  </hyperlinks>
  <pageMargins left="0.7" right="0.7" top="0.75" bottom="0.75" header="0.3" footer="0.3"/>
  <pageSetup scale="41"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E7EB-C2B7-40F2-8ECE-8D90EA8AEC4E}">
  <sheetPr codeName="Sheet6"/>
  <dimension ref="A1:I48"/>
  <sheetViews>
    <sheetView workbookViewId="0">
      <selection activeCell="E19" sqref="E19:F19"/>
    </sheetView>
  </sheetViews>
  <sheetFormatPr defaultRowHeight="15" x14ac:dyDescent="0.25"/>
  <cols>
    <col min="1" max="9" width="14.7109375" customWidth="1"/>
  </cols>
  <sheetData>
    <row r="1" spans="1:9" x14ac:dyDescent="0.25">
      <c r="A1" s="147"/>
      <c r="B1" s="88" t="s">
        <v>113</v>
      </c>
      <c r="C1" s="89" t="s">
        <v>111</v>
      </c>
      <c r="D1" s="89" t="s">
        <v>116</v>
      </c>
      <c r="E1" s="89" t="s">
        <v>112</v>
      </c>
      <c r="F1" s="89" t="s">
        <v>171</v>
      </c>
      <c r="G1" s="89" t="s">
        <v>1</v>
      </c>
      <c r="H1" s="89" t="s">
        <v>0</v>
      </c>
      <c r="I1" s="90" t="s">
        <v>4</v>
      </c>
    </row>
    <row r="2" spans="1:9" x14ac:dyDescent="0.25">
      <c r="A2" s="148" t="s">
        <v>30</v>
      </c>
      <c r="B2" s="149"/>
      <c r="C2" s="149"/>
      <c r="D2" s="149"/>
      <c r="E2" s="149"/>
      <c r="F2" s="149"/>
      <c r="G2" s="149"/>
      <c r="H2" s="149"/>
      <c r="I2" s="150"/>
    </row>
    <row r="3" spans="1:9" x14ac:dyDescent="0.25">
      <c r="A3" s="151">
        <v>0</v>
      </c>
      <c r="B3" s="152">
        <v>90</v>
      </c>
      <c r="C3" s="153">
        <v>90</v>
      </c>
      <c r="D3" s="153">
        <v>100</v>
      </c>
      <c r="E3" s="153">
        <v>105</v>
      </c>
      <c r="F3" s="153">
        <v>110</v>
      </c>
      <c r="G3" s="153">
        <v>125</v>
      </c>
      <c r="H3" s="153">
        <v>130</v>
      </c>
      <c r="I3" s="154">
        <v>135</v>
      </c>
    </row>
    <row r="4" spans="1:9" x14ac:dyDescent="0.25">
      <c r="A4" s="151">
        <v>1</v>
      </c>
      <c r="B4" s="152">
        <f t="shared" ref="B4:I13" si="0">B3+4</f>
        <v>94</v>
      </c>
      <c r="C4" s="153">
        <f t="shared" si="0"/>
        <v>94</v>
      </c>
      <c r="D4" s="153">
        <f t="shared" si="0"/>
        <v>104</v>
      </c>
      <c r="E4" s="153">
        <f t="shared" si="0"/>
        <v>109</v>
      </c>
      <c r="F4" s="153">
        <f t="shared" si="0"/>
        <v>114</v>
      </c>
      <c r="G4" s="153">
        <f t="shared" si="0"/>
        <v>129</v>
      </c>
      <c r="H4" s="153">
        <f t="shared" si="0"/>
        <v>134</v>
      </c>
      <c r="I4" s="154">
        <f t="shared" si="0"/>
        <v>139</v>
      </c>
    </row>
    <row r="5" spans="1:9" x14ac:dyDescent="0.25">
      <c r="A5" s="151">
        <v>2</v>
      </c>
      <c r="B5" s="152">
        <f t="shared" si="0"/>
        <v>98</v>
      </c>
      <c r="C5" s="153">
        <f t="shared" si="0"/>
        <v>98</v>
      </c>
      <c r="D5" s="153">
        <f t="shared" si="0"/>
        <v>108</v>
      </c>
      <c r="E5" s="153">
        <f t="shared" si="0"/>
        <v>113</v>
      </c>
      <c r="F5" s="153">
        <f t="shared" si="0"/>
        <v>118</v>
      </c>
      <c r="G5" s="153">
        <f t="shared" si="0"/>
        <v>133</v>
      </c>
      <c r="H5" s="153">
        <f t="shared" si="0"/>
        <v>138</v>
      </c>
      <c r="I5" s="154">
        <f t="shared" si="0"/>
        <v>143</v>
      </c>
    </row>
    <row r="6" spans="1:9" x14ac:dyDescent="0.25">
      <c r="A6" s="151">
        <v>3</v>
      </c>
      <c r="B6" s="152">
        <f t="shared" si="0"/>
        <v>102</v>
      </c>
      <c r="C6" s="153">
        <f t="shared" si="0"/>
        <v>102</v>
      </c>
      <c r="D6" s="153">
        <f t="shared" si="0"/>
        <v>112</v>
      </c>
      <c r="E6" s="153">
        <f t="shared" si="0"/>
        <v>117</v>
      </c>
      <c r="F6" s="153">
        <f t="shared" si="0"/>
        <v>122</v>
      </c>
      <c r="G6" s="153">
        <f t="shared" si="0"/>
        <v>137</v>
      </c>
      <c r="H6" s="153">
        <f t="shared" si="0"/>
        <v>142</v>
      </c>
      <c r="I6" s="154">
        <f t="shared" si="0"/>
        <v>147</v>
      </c>
    </row>
    <row r="7" spans="1:9" x14ac:dyDescent="0.25">
      <c r="A7" s="151">
        <v>4</v>
      </c>
      <c r="B7" s="152">
        <f t="shared" si="0"/>
        <v>106</v>
      </c>
      <c r="C7" s="153">
        <f t="shared" si="0"/>
        <v>106</v>
      </c>
      <c r="D7" s="153">
        <f t="shared" si="0"/>
        <v>116</v>
      </c>
      <c r="E7" s="153">
        <f t="shared" si="0"/>
        <v>121</v>
      </c>
      <c r="F7" s="153">
        <f t="shared" si="0"/>
        <v>126</v>
      </c>
      <c r="G7" s="153">
        <f t="shared" si="0"/>
        <v>141</v>
      </c>
      <c r="H7" s="153">
        <f t="shared" si="0"/>
        <v>146</v>
      </c>
      <c r="I7" s="154">
        <f t="shared" si="0"/>
        <v>151</v>
      </c>
    </row>
    <row r="8" spans="1:9" ht="15.75" thickBot="1" x14ac:dyDescent="0.3">
      <c r="A8" s="155">
        <v>5</v>
      </c>
      <c r="B8" s="156">
        <f t="shared" si="0"/>
        <v>110</v>
      </c>
      <c r="C8" s="157">
        <f t="shared" si="0"/>
        <v>110</v>
      </c>
      <c r="D8" s="157">
        <f t="shared" si="0"/>
        <v>120</v>
      </c>
      <c r="E8" s="157">
        <f t="shared" si="0"/>
        <v>125</v>
      </c>
      <c r="F8" s="157">
        <f t="shared" si="0"/>
        <v>130</v>
      </c>
      <c r="G8" s="157">
        <f t="shared" si="0"/>
        <v>145</v>
      </c>
      <c r="H8" s="157">
        <f t="shared" si="0"/>
        <v>150</v>
      </c>
      <c r="I8" s="158">
        <f t="shared" si="0"/>
        <v>155</v>
      </c>
    </row>
    <row r="9" spans="1:9" x14ac:dyDescent="0.25">
      <c r="A9" s="159">
        <v>6</v>
      </c>
      <c r="B9" s="160">
        <f t="shared" ref="B9:D13" si="1">B8+3</f>
        <v>113</v>
      </c>
      <c r="C9" s="161">
        <f t="shared" si="1"/>
        <v>113</v>
      </c>
      <c r="D9" s="161">
        <f t="shared" si="1"/>
        <v>123</v>
      </c>
      <c r="E9" s="161">
        <f t="shared" si="0"/>
        <v>129</v>
      </c>
      <c r="F9" s="161">
        <f t="shared" si="0"/>
        <v>134</v>
      </c>
      <c r="G9" s="161">
        <f t="shared" si="0"/>
        <v>149</v>
      </c>
      <c r="H9" s="161">
        <f t="shared" si="0"/>
        <v>154</v>
      </c>
      <c r="I9" s="162">
        <f t="shared" si="0"/>
        <v>159</v>
      </c>
    </row>
    <row r="10" spans="1:9" x14ac:dyDescent="0.25">
      <c r="A10" s="151">
        <v>7</v>
      </c>
      <c r="B10" s="152">
        <f t="shared" si="1"/>
        <v>116</v>
      </c>
      <c r="C10" s="153">
        <f t="shared" si="1"/>
        <v>116</v>
      </c>
      <c r="D10" s="153">
        <f t="shared" si="1"/>
        <v>126</v>
      </c>
      <c r="E10" s="153">
        <f t="shared" si="0"/>
        <v>133</v>
      </c>
      <c r="F10" s="153">
        <f t="shared" si="0"/>
        <v>138</v>
      </c>
      <c r="G10" s="153">
        <f t="shared" si="0"/>
        <v>153</v>
      </c>
      <c r="H10" s="153">
        <f t="shared" si="0"/>
        <v>158</v>
      </c>
      <c r="I10" s="154">
        <f t="shared" si="0"/>
        <v>163</v>
      </c>
    </row>
    <row r="11" spans="1:9" x14ac:dyDescent="0.25">
      <c r="A11" s="151">
        <v>8</v>
      </c>
      <c r="B11" s="152">
        <f t="shared" si="1"/>
        <v>119</v>
      </c>
      <c r="C11" s="153">
        <f t="shared" si="1"/>
        <v>119</v>
      </c>
      <c r="D11" s="153">
        <f t="shared" si="1"/>
        <v>129</v>
      </c>
      <c r="E11" s="153">
        <f t="shared" si="0"/>
        <v>137</v>
      </c>
      <c r="F11" s="153">
        <f t="shared" si="0"/>
        <v>142</v>
      </c>
      <c r="G11" s="153">
        <f t="shared" si="0"/>
        <v>157</v>
      </c>
      <c r="H11" s="153">
        <f t="shared" si="0"/>
        <v>162</v>
      </c>
      <c r="I11" s="154">
        <f t="shared" si="0"/>
        <v>167</v>
      </c>
    </row>
    <row r="12" spans="1:9" x14ac:dyDescent="0.25">
      <c r="A12" s="151">
        <v>9</v>
      </c>
      <c r="B12" s="152">
        <f t="shared" si="1"/>
        <v>122</v>
      </c>
      <c r="C12" s="153">
        <f t="shared" si="1"/>
        <v>122</v>
      </c>
      <c r="D12" s="153">
        <f t="shared" si="1"/>
        <v>132</v>
      </c>
      <c r="E12" s="153">
        <f t="shared" si="0"/>
        <v>141</v>
      </c>
      <c r="F12" s="153">
        <f t="shared" si="0"/>
        <v>146</v>
      </c>
      <c r="G12" s="153">
        <f t="shared" si="0"/>
        <v>161</v>
      </c>
      <c r="H12" s="153">
        <f t="shared" si="0"/>
        <v>166</v>
      </c>
      <c r="I12" s="154">
        <f t="shared" si="0"/>
        <v>171</v>
      </c>
    </row>
    <row r="13" spans="1:9" ht="15.75" thickBot="1" x14ac:dyDescent="0.3">
      <c r="A13" s="163">
        <v>10</v>
      </c>
      <c r="B13" s="164">
        <f t="shared" si="1"/>
        <v>125</v>
      </c>
      <c r="C13" s="165">
        <f t="shared" si="1"/>
        <v>125</v>
      </c>
      <c r="D13" s="165">
        <f t="shared" si="1"/>
        <v>135</v>
      </c>
      <c r="E13" s="165">
        <f t="shared" si="0"/>
        <v>145</v>
      </c>
      <c r="F13" s="165">
        <f t="shared" si="0"/>
        <v>150</v>
      </c>
      <c r="G13" s="165">
        <f t="shared" si="0"/>
        <v>165</v>
      </c>
      <c r="H13" s="165">
        <f t="shared" si="0"/>
        <v>170</v>
      </c>
      <c r="I13" s="166">
        <f t="shared" si="0"/>
        <v>175</v>
      </c>
    </row>
    <row r="14" spans="1:9" x14ac:dyDescent="0.25">
      <c r="A14" s="159">
        <v>11</v>
      </c>
      <c r="B14" s="160">
        <f>B13+2</f>
        <v>127</v>
      </c>
      <c r="C14" s="91">
        <f>C13</f>
        <v>125</v>
      </c>
      <c r="D14" s="161">
        <f>D13+2</f>
        <v>137</v>
      </c>
      <c r="E14" s="161">
        <f t="shared" ref="E14:I18" si="2">E13+3</f>
        <v>148</v>
      </c>
      <c r="F14" s="161">
        <f t="shared" si="2"/>
        <v>153</v>
      </c>
      <c r="G14" s="161">
        <f t="shared" si="2"/>
        <v>168</v>
      </c>
      <c r="H14" s="161">
        <f t="shared" si="2"/>
        <v>173</v>
      </c>
      <c r="I14" s="162">
        <f t="shared" si="2"/>
        <v>178</v>
      </c>
    </row>
    <row r="15" spans="1:9" x14ac:dyDescent="0.25">
      <c r="A15" s="151">
        <v>12</v>
      </c>
      <c r="B15" s="152">
        <f>B14+2</f>
        <v>129</v>
      </c>
      <c r="C15" s="92">
        <f t="shared" ref="C15:D30" si="3">C14</f>
        <v>125</v>
      </c>
      <c r="D15" s="153">
        <f>D14+2</f>
        <v>139</v>
      </c>
      <c r="E15" s="153">
        <f t="shared" si="2"/>
        <v>151</v>
      </c>
      <c r="F15" s="153">
        <f t="shared" si="2"/>
        <v>156</v>
      </c>
      <c r="G15" s="153">
        <f t="shared" si="2"/>
        <v>171</v>
      </c>
      <c r="H15" s="153">
        <f t="shared" si="2"/>
        <v>176</v>
      </c>
      <c r="I15" s="154">
        <f t="shared" si="2"/>
        <v>181</v>
      </c>
    </row>
    <row r="16" spans="1:9" x14ac:dyDescent="0.25">
      <c r="A16" s="151">
        <v>13</v>
      </c>
      <c r="B16" s="152">
        <f>B15+2</f>
        <v>131</v>
      </c>
      <c r="C16" s="92">
        <f t="shared" si="3"/>
        <v>125</v>
      </c>
      <c r="D16" s="153">
        <f>D15+2</f>
        <v>141</v>
      </c>
      <c r="E16" s="153">
        <f t="shared" si="2"/>
        <v>154</v>
      </c>
      <c r="F16" s="153">
        <f t="shared" si="2"/>
        <v>159</v>
      </c>
      <c r="G16" s="153">
        <f t="shared" si="2"/>
        <v>174</v>
      </c>
      <c r="H16" s="153">
        <f t="shared" si="2"/>
        <v>179</v>
      </c>
      <c r="I16" s="154">
        <f t="shared" si="2"/>
        <v>184</v>
      </c>
    </row>
    <row r="17" spans="1:9" x14ac:dyDescent="0.25">
      <c r="A17" s="151">
        <v>14</v>
      </c>
      <c r="B17" s="152">
        <f>B16+2</f>
        <v>133</v>
      </c>
      <c r="C17" s="92">
        <f t="shared" si="3"/>
        <v>125</v>
      </c>
      <c r="D17" s="153">
        <f>D16+2</f>
        <v>143</v>
      </c>
      <c r="E17" s="153">
        <f t="shared" si="2"/>
        <v>157</v>
      </c>
      <c r="F17" s="153">
        <f t="shared" si="2"/>
        <v>162</v>
      </c>
      <c r="G17" s="153">
        <f t="shared" si="2"/>
        <v>177</v>
      </c>
      <c r="H17" s="153">
        <f t="shared" si="2"/>
        <v>182</v>
      </c>
      <c r="I17" s="154">
        <f t="shared" si="2"/>
        <v>187</v>
      </c>
    </row>
    <row r="18" spans="1:9" ht="15.75" thickBot="1" x14ac:dyDescent="0.3">
      <c r="A18" s="163">
        <v>15</v>
      </c>
      <c r="B18" s="164">
        <f>B17+2</f>
        <v>135</v>
      </c>
      <c r="C18" s="93">
        <f t="shared" si="3"/>
        <v>125</v>
      </c>
      <c r="D18" s="165">
        <f>D17+2</f>
        <v>145</v>
      </c>
      <c r="E18" s="165">
        <f t="shared" si="2"/>
        <v>160</v>
      </c>
      <c r="F18" s="165">
        <f t="shared" si="2"/>
        <v>165</v>
      </c>
      <c r="G18" s="165">
        <f t="shared" si="2"/>
        <v>180</v>
      </c>
      <c r="H18" s="165">
        <f t="shared" si="2"/>
        <v>185</v>
      </c>
      <c r="I18" s="166">
        <f t="shared" si="2"/>
        <v>190</v>
      </c>
    </row>
    <row r="19" spans="1:9" x14ac:dyDescent="0.25">
      <c r="A19" s="167">
        <v>16</v>
      </c>
      <c r="B19" s="168">
        <f t="shared" ref="B19:B33" si="4">B18+0.6</f>
        <v>135.6</v>
      </c>
      <c r="C19" s="94">
        <f t="shared" si="3"/>
        <v>125</v>
      </c>
      <c r="D19" s="169">
        <f t="shared" ref="D19:I33" si="5">D18+0.6</f>
        <v>145.6</v>
      </c>
      <c r="E19" s="169">
        <f t="shared" si="5"/>
        <v>160.6</v>
      </c>
      <c r="F19" s="169">
        <f t="shared" si="5"/>
        <v>165.6</v>
      </c>
      <c r="G19" s="169">
        <f t="shared" si="5"/>
        <v>180.6</v>
      </c>
      <c r="H19" s="169">
        <f t="shared" si="5"/>
        <v>185.6</v>
      </c>
      <c r="I19" s="170">
        <f t="shared" si="5"/>
        <v>190.6</v>
      </c>
    </row>
    <row r="20" spans="1:9" x14ac:dyDescent="0.25">
      <c r="A20" s="151">
        <v>17</v>
      </c>
      <c r="B20" s="152">
        <f t="shared" si="4"/>
        <v>136.19999999999999</v>
      </c>
      <c r="C20" s="92">
        <f t="shared" si="3"/>
        <v>125</v>
      </c>
      <c r="D20" s="153">
        <f t="shared" si="5"/>
        <v>146.19999999999999</v>
      </c>
      <c r="E20" s="153">
        <f t="shared" si="5"/>
        <v>161.19999999999999</v>
      </c>
      <c r="F20" s="153">
        <f t="shared" si="5"/>
        <v>166.2</v>
      </c>
      <c r="G20" s="153">
        <f t="shared" si="5"/>
        <v>181.2</v>
      </c>
      <c r="H20" s="153">
        <f t="shared" si="5"/>
        <v>186.2</v>
      </c>
      <c r="I20" s="154">
        <f t="shared" si="5"/>
        <v>191.2</v>
      </c>
    </row>
    <row r="21" spans="1:9" x14ac:dyDescent="0.25">
      <c r="A21" s="151">
        <v>18</v>
      </c>
      <c r="B21" s="152">
        <f t="shared" si="4"/>
        <v>136.79999999999998</v>
      </c>
      <c r="C21" s="92">
        <f t="shared" si="3"/>
        <v>125</v>
      </c>
      <c r="D21" s="153">
        <f t="shared" si="5"/>
        <v>146.79999999999998</v>
      </c>
      <c r="E21" s="153">
        <f t="shared" si="5"/>
        <v>161.79999999999998</v>
      </c>
      <c r="F21" s="153">
        <f t="shared" si="5"/>
        <v>166.79999999999998</v>
      </c>
      <c r="G21" s="153">
        <f t="shared" si="5"/>
        <v>181.79999999999998</v>
      </c>
      <c r="H21" s="153">
        <f t="shared" si="5"/>
        <v>186.79999999999998</v>
      </c>
      <c r="I21" s="154">
        <f t="shared" si="5"/>
        <v>191.79999999999998</v>
      </c>
    </row>
    <row r="22" spans="1:9" x14ac:dyDescent="0.25">
      <c r="A22" s="151">
        <v>19</v>
      </c>
      <c r="B22" s="152">
        <f t="shared" si="4"/>
        <v>137.39999999999998</v>
      </c>
      <c r="C22" s="92">
        <f t="shared" si="3"/>
        <v>125</v>
      </c>
      <c r="D22" s="153">
        <f t="shared" si="5"/>
        <v>147.39999999999998</v>
      </c>
      <c r="E22" s="153">
        <f t="shared" si="5"/>
        <v>162.39999999999998</v>
      </c>
      <c r="F22" s="153">
        <f t="shared" si="5"/>
        <v>167.39999999999998</v>
      </c>
      <c r="G22" s="153">
        <f t="shared" si="5"/>
        <v>182.39999999999998</v>
      </c>
      <c r="H22" s="153">
        <f t="shared" si="5"/>
        <v>187.39999999999998</v>
      </c>
      <c r="I22" s="154">
        <f t="shared" si="5"/>
        <v>192.39999999999998</v>
      </c>
    </row>
    <row r="23" spans="1:9" ht="15.75" thickBot="1" x14ac:dyDescent="0.3">
      <c r="A23" s="163">
        <v>20</v>
      </c>
      <c r="B23" s="164">
        <f t="shared" si="4"/>
        <v>137.99999999999997</v>
      </c>
      <c r="C23" s="93">
        <f t="shared" si="3"/>
        <v>125</v>
      </c>
      <c r="D23" s="165">
        <f t="shared" si="5"/>
        <v>147.99999999999997</v>
      </c>
      <c r="E23" s="165">
        <f t="shared" si="5"/>
        <v>162.99999999999997</v>
      </c>
      <c r="F23" s="165">
        <f t="shared" si="5"/>
        <v>167.99999999999997</v>
      </c>
      <c r="G23" s="165">
        <f t="shared" si="5"/>
        <v>182.99999999999997</v>
      </c>
      <c r="H23" s="165">
        <f t="shared" si="5"/>
        <v>187.99999999999997</v>
      </c>
      <c r="I23" s="166">
        <f t="shared" si="5"/>
        <v>192.99999999999997</v>
      </c>
    </row>
    <row r="24" spans="1:9" x14ac:dyDescent="0.25">
      <c r="A24" s="159">
        <v>21</v>
      </c>
      <c r="B24" s="160">
        <f t="shared" si="4"/>
        <v>138.59999999999997</v>
      </c>
      <c r="C24" s="91">
        <f t="shared" si="3"/>
        <v>125</v>
      </c>
      <c r="D24" s="161">
        <f t="shared" si="5"/>
        <v>148.59999999999997</v>
      </c>
      <c r="E24" s="161">
        <f t="shared" si="5"/>
        <v>163.59999999999997</v>
      </c>
      <c r="F24" s="161">
        <f t="shared" si="5"/>
        <v>168.59999999999997</v>
      </c>
      <c r="G24" s="161">
        <f t="shared" si="5"/>
        <v>183.59999999999997</v>
      </c>
      <c r="H24" s="161">
        <f t="shared" si="5"/>
        <v>188.59999999999997</v>
      </c>
      <c r="I24" s="162">
        <f t="shared" si="5"/>
        <v>193.59999999999997</v>
      </c>
    </row>
    <row r="25" spans="1:9" x14ac:dyDescent="0.25">
      <c r="A25" s="151">
        <v>22</v>
      </c>
      <c r="B25" s="152">
        <f t="shared" si="4"/>
        <v>139.19999999999996</v>
      </c>
      <c r="C25" s="92">
        <f t="shared" si="3"/>
        <v>125</v>
      </c>
      <c r="D25" s="153">
        <f t="shared" si="5"/>
        <v>149.19999999999996</v>
      </c>
      <c r="E25" s="153">
        <f t="shared" si="5"/>
        <v>164.19999999999996</v>
      </c>
      <c r="F25" s="153">
        <f t="shared" si="5"/>
        <v>169.19999999999996</v>
      </c>
      <c r="G25" s="153">
        <f t="shared" si="5"/>
        <v>184.19999999999996</v>
      </c>
      <c r="H25" s="153">
        <f t="shared" si="5"/>
        <v>189.19999999999996</v>
      </c>
      <c r="I25" s="154">
        <f t="shared" si="5"/>
        <v>194.19999999999996</v>
      </c>
    </row>
    <row r="26" spans="1:9" x14ac:dyDescent="0.25">
      <c r="A26" s="151">
        <v>23</v>
      </c>
      <c r="B26" s="152">
        <f t="shared" si="4"/>
        <v>139.79999999999995</v>
      </c>
      <c r="C26" s="92">
        <f t="shared" si="3"/>
        <v>125</v>
      </c>
      <c r="D26" s="153">
        <f t="shared" si="5"/>
        <v>149.79999999999995</v>
      </c>
      <c r="E26" s="153">
        <f t="shared" si="5"/>
        <v>164.79999999999995</v>
      </c>
      <c r="F26" s="153">
        <f t="shared" si="5"/>
        <v>169.79999999999995</v>
      </c>
      <c r="G26" s="153">
        <f t="shared" si="5"/>
        <v>184.79999999999995</v>
      </c>
      <c r="H26" s="153">
        <f t="shared" si="5"/>
        <v>189.79999999999995</v>
      </c>
      <c r="I26" s="154">
        <f t="shared" si="5"/>
        <v>194.79999999999995</v>
      </c>
    </row>
    <row r="27" spans="1:9" x14ac:dyDescent="0.25">
      <c r="A27" s="151">
        <v>24</v>
      </c>
      <c r="B27" s="152">
        <f t="shared" si="4"/>
        <v>140.39999999999995</v>
      </c>
      <c r="C27" s="92">
        <f t="shared" si="3"/>
        <v>125</v>
      </c>
      <c r="D27" s="153">
        <f t="shared" si="5"/>
        <v>150.39999999999995</v>
      </c>
      <c r="E27" s="153">
        <f t="shared" si="5"/>
        <v>165.39999999999995</v>
      </c>
      <c r="F27" s="153">
        <f t="shared" si="5"/>
        <v>170.39999999999995</v>
      </c>
      <c r="G27" s="153">
        <f t="shared" si="5"/>
        <v>185.39999999999995</v>
      </c>
      <c r="H27" s="153">
        <f t="shared" si="5"/>
        <v>190.39999999999995</v>
      </c>
      <c r="I27" s="154">
        <f t="shared" si="5"/>
        <v>195.39999999999995</v>
      </c>
    </row>
    <row r="28" spans="1:9" ht="15.75" thickBot="1" x14ac:dyDescent="0.3">
      <c r="A28" s="163">
        <v>25</v>
      </c>
      <c r="B28" s="164">
        <f t="shared" si="4"/>
        <v>140.99999999999994</v>
      </c>
      <c r="C28" s="93">
        <f t="shared" si="3"/>
        <v>125</v>
      </c>
      <c r="D28" s="165">
        <f t="shared" si="5"/>
        <v>150.99999999999994</v>
      </c>
      <c r="E28" s="165">
        <f t="shared" si="5"/>
        <v>165.99999999999994</v>
      </c>
      <c r="F28" s="165">
        <f t="shared" si="5"/>
        <v>170.99999999999994</v>
      </c>
      <c r="G28" s="165">
        <f t="shared" si="5"/>
        <v>185.99999999999994</v>
      </c>
      <c r="H28" s="165">
        <f t="shared" si="5"/>
        <v>190.99999999999994</v>
      </c>
      <c r="I28" s="166">
        <f t="shared" si="5"/>
        <v>195.99999999999994</v>
      </c>
    </row>
    <row r="29" spans="1:9" x14ac:dyDescent="0.25">
      <c r="A29" s="167">
        <v>26</v>
      </c>
      <c r="B29" s="168">
        <f t="shared" si="4"/>
        <v>141.59999999999994</v>
      </c>
      <c r="C29" s="94">
        <f t="shared" si="3"/>
        <v>125</v>
      </c>
      <c r="D29" s="94">
        <f>D28</f>
        <v>150.99999999999994</v>
      </c>
      <c r="E29" s="169">
        <f t="shared" si="5"/>
        <v>166.59999999999994</v>
      </c>
      <c r="F29" s="169">
        <f t="shared" si="5"/>
        <v>171.59999999999994</v>
      </c>
      <c r="G29" s="169">
        <f t="shared" si="5"/>
        <v>186.59999999999994</v>
      </c>
      <c r="H29" s="169">
        <f t="shared" si="5"/>
        <v>191.59999999999994</v>
      </c>
      <c r="I29" s="170">
        <f t="shared" si="5"/>
        <v>196.59999999999994</v>
      </c>
    </row>
    <row r="30" spans="1:9" x14ac:dyDescent="0.25">
      <c r="A30" s="151">
        <v>27</v>
      </c>
      <c r="B30" s="152">
        <f t="shared" si="4"/>
        <v>142.19999999999993</v>
      </c>
      <c r="C30" s="92">
        <f t="shared" si="3"/>
        <v>125</v>
      </c>
      <c r="D30" s="92">
        <f t="shared" si="3"/>
        <v>150.99999999999994</v>
      </c>
      <c r="E30" s="153">
        <f t="shared" si="5"/>
        <v>167.19999999999993</v>
      </c>
      <c r="F30" s="153">
        <f t="shared" si="5"/>
        <v>172.19999999999993</v>
      </c>
      <c r="G30" s="153">
        <f t="shared" si="5"/>
        <v>187.19999999999993</v>
      </c>
      <c r="H30" s="153">
        <f t="shared" si="5"/>
        <v>192.19999999999993</v>
      </c>
      <c r="I30" s="154">
        <f t="shared" si="5"/>
        <v>197.19999999999993</v>
      </c>
    </row>
    <row r="31" spans="1:9" x14ac:dyDescent="0.25">
      <c r="A31" s="151">
        <v>28</v>
      </c>
      <c r="B31" s="152">
        <f t="shared" si="4"/>
        <v>142.79999999999993</v>
      </c>
      <c r="C31" s="92">
        <f t="shared" ref="B31:D46" si="6">C30</f>
        <v>125</v>
      </c>
      <c r="D31" s="92">
        <f t="shared" si="6"/>
        <v>150.99999999999994</v>
      </c>
      <c r="E31" s="153">
        <f t="shared" si="5"/>
        <v>167.79999999999993</v>
      </c>
      <c r="F31" s="153">
        <f t="shared" si="5"/>
        <v>172.79999999999993</v>
      </c>
      <c r="G31" s="153">
        <f t="shared" si="5"/>
        <v>187.79999999999993</v>
      </c>
      <c r="H31" s="153">
        <f t="shared" si="5"/>
        <v>192.79999999999993</v>
      </c>
      <c r="I31" s="154">
        <f t="shared" si="5"/>
        <v>197.79999999999993</v>
      </c>
    </row>
    <row r="32" spans="1:9" x14ac:dyDescent="0.25">
      <c r="A32" s="151">
        <v>29</v>
      </c>
      <c r="B32" s="152">
        <f t="shared" si="4"/>
        <v>143.39999999999992</v>
      </c>
      <c r="C32" s="92">
        <f t="shared" si="6"/>
        <v>125</v>
      </c>
      <c r="D32" s="92">
        <f t="shared" si="6"/>
        <v>150.99999999999994</v>
      </c>
      <c r="E32" s="153">
        <f t="shared" si="5"/>
        <v>168.39999999999992</v>
      </c>
      <c r="F32" s="153">
        <f t="shared" si="5"/>
        <v>173.39999999999992</v>
      </c>
      <c r="G32" s="153">
        <f t="shared" si="5"/>
        <v>188.39999999999992</v>
      </c>
      <c r="H32" s="153">
        <f t="shared" si="5"/>
        <v>193.39999999999992</v>
      </c>
      <c r="I32" s="154">
        <f t="shared" si="5"/>
        <v>198.39999999999992</v>
      </c>
    </row>
    <row r="33" spans="1:9" ht="15.75" thickBot="1" x14ac:dyDescent="0.3">
      <c r="A33" s="155">
        <v>30</v>
      </c>
      <c r="B33" s="156">
        <f t="shared" si="4"/>
        <v>143.99999999999991</v>
      </c>
      <c r="C33" s="95">
        <f t="shared" si="6"/>
        <v>125</v>
      </c>
      <c r="D33" s="95">
        <f t="shared" si="6"/>
        <v>150.99999999999994</v>
      </c>
      <c r="E33" s="157">
        <f t="shared" si="5"/>
        <v>168.99999999999991</v>
      </c>
      <c r="F33" s="157">
        <f t="shared" si="5"/>
        <v>173.99999999999991</v>
      </c>
      <c r="G33" s="157">
        <f t="shared" si="5"/>
        <v>188.99999999999991</v>
      </c>
      <c r="H33" s="157">
        <f t="shared" si="5"/>
        <v>193.99999999999991</v>
      </c>
      <c r="I33" s="158">
        <f t="shared" si="5"/>
        <v>198.99999999999991</v>
      </c>
    </row>
    <row r="34" spans="1:9" x14ac:dyDescent="0.25">
      <c r="A34" s="159">
        <v>31</v>
      </c>
      <c r="B34" s="96">
        <f t="shared" si="6"/>
        <v>143.99999999999991</v>
      </c>
      <c r="C34" s="91">
        <f t="shared" si="6"/>
        <v>125</v>
      </c>
      <c r="D34" s="91">
        <f t="shared" si="6"/>
        <v>150.99999999999994</v>
      </c>
      <c r="E34" s="161">
        <f>E33+0.5</f>
        <v>169.49999999999991</v>
      </c>
      <c r="F34" s="161">
        <f>F33+0.5</f>
        <v>174.49999999999991</v>
      </c>
      <c r="G34" s="161">
        <f>G33+0.5</f>
        <v>189.49999999999991</v>
      </c>
      <c r="H34" s="161">
        <f>H33+0.5</f>
        <v>194.49999999999991</v>
      </c>
      <c r="I34" s="162">
        <f>I33+0.5</f>
        <v>199.49999999999991</v>
      </c>
    </row>
    <row r="35" spans="1:9" x14ac:dyDescent="0.25">
      <c r="A35" s="151">
        <v>32</v>
      </c>
      <c r="B35" s="97">
        <f t="shared" si="6"/>
        <v>143.99999999999991</v>
      </c>
      <c r="C35" s="92">
        <f t="shared" si="6"/>
        <v>125</v>
      </c>
      <c r="D35" s="92">
        <f t="shared" si="6"/>
        <v>150.99999999999994</v>
      </c>
      <c r="E35" s="153">
        <f t="shared" ref="E35:I48" si="7">E34+0.5</f>
        <v>169.99999999999991</v>
      </c>
      <c r="F35" s="153">
        <f t="shared" si="7"/>
        <v>174.99999999999991</v>
      </c>
      <c r="G35" s="153">
        <f t="shared" si="7"/>
        <v>189.99999999999991</v>
      </c>
      <c r="H35" s="153">
        <f t="shared" si="7"/>
        <v>194.99999999999991</v>
      </c>
      <c r="I35" s="154">
        <f t="shared" si="7"/>
        <v>199.99999999999991</v>
      </c>
    </row>
    <row r="36" spans="1:9" x14ac:dyDescent="0.25">
      <c r="A36" s="151">
        <v>33</v>
      </c>
      <c r="B36" s="97">
        <f t="shared" si="6"/>
        <v>143.99999999999991</v>
      </c>
      <c r="C36" s="92">
        <f t="shared" si="6"/>
        <v>125</v>
      </c>
      <c r="D36" s="92">
        <f t="shared" si="6"/>
        <v>150.99999999999994</v>
      </c>
      <c r="E36" s="153">
        <f t="shared" si="7"/>
        <v>170.49999999999991</v>
      </c>
      <c r="F36" s="153">
        <f t="shared" si="7"/>
        <v>175.49999999999991</v>
      </c>
      <c r="G36" s="153">
        <f t="shared" si="7"/>
        <v>190.49999999999991</v>
      </c>
      <c r="H36" s="153">
        <f t="shared" si="7"/>
        <v>195.49999999999991</v>
      </c>
      <c r="I36" s="154">
        <f t="shared" si="7"/>
        <v>200.49999999999991</v>
      </c>
    </row>
    <row r="37" spans="1:9" x14ac:dyDescent="0.25">
      <c r="A37" s="151">
        <v>34</v>
      </c>
      <c r="B37" s="97">
        <f t="shared" si="6"/>
        <v>143.99999999999991</v>
      </c>
      <c r="C37" s="92">
        <f t="shared" si="6"/>
        <v>125</v>
      </c>
      <c r="D37" s="92">
        <f t="shared" si="6"/>
        <v>150.99999999999994</v>
      </c>
      <c r="E37" s="153">
        <f t="shared" si="7"/>
        <v>170.99999999999991</v>
      </c>
      <c r="F37" s="153">
        <f t="shared" si="7"/>
        <v>175.99999999999991</v>
      </c>
      <c r="G37" s="153">
        <f t="shared" si="7"/>
        <v>190.99999999999991</v>
      </c>
      <c r="H37" s="153">
        <f t="shared" si="7"/>
        <v>195.99999999999991</v>
      </c>
      <c r="I37" s="154">
        <f t="shared" si="7"/>
        <v>200.99999999999991</v>
      </c>
    </row>
    <row r="38" spans="1:9" ht="15.75" thickBot="1" x14ac:dyDescent="0.3">
      <c r="A38" s="163">
        <v>35</v>
      </c>
      <c r="B38" s="98">
        <f t="shared" si="6"/>
        <v>143.99999999999991</v>
      </c>
      <c r="C38" s="93">
        <f t="shared" si="6"/>
        <v>125</v>
      </c>
      <c r="D38" s="93">
        <f t="shared" si="6"/>
        <v>150.99999999999994</v>
      </c>
      <c r="E38" s="165">
        <f t="shared" si="7"/>
        <v>171.49999999999991</v>
      </c>
      <c r="F38" s="165">
        <f t="shared" si="7"/>
        <v>176.49999999999991</v>
      </c>
      <c r="G38" s="165">
        <f t="shared" si="7"/>
        <v>191.49999999999991</v>
      </c>
      <c r="H38" s="165">
        <f t="shared" si="7"/>
        <v>196.49999999999991</v>
      </c>
      <c r="I38" s="166">
        <f t="shared" si="7"/>
        <v>201.49999999999991</v>
      </c>
    </row>
    <row r="39" spans="1:9" x14ac:dyDescent="0.25">
      <c r="A39" s="167">
        <v>36</v>
      </c>
      <c r="B39" s="99">
        <f t="shared" si="6"/>
        <v>143.99999999999991</v>
      </c>
      <c r="C39" s="94">
        <f t="shared" si="6"/>
        <v>125</v>
      </c>
      <c r="D39" s="94">
        <f t="shared" si="6"/>
        <v>150.99999999999994</v>
      </c>
      <c r="E39" s="169">
        <f t="shared" si="7"/>
        <v>171.99999999999991</v>
      </c>
      <c r="F39" s="169">
        <f t="shared" si="7"/>
        <v>176.99999999999991</v>
      </c>
      <c r="G39" s="169">
        <f t="shared" si="7"/>
        <v>191.99999999999991</v>
      </c>
      <c r="H39" s="169">
        <f t="shared" si="7"/>
        <v>196.99999999999991</v>
      </c>
      <c r="I39" s="170">
        <f t="shared" si="7"/>
        <v>201.99999999999991</v>
      </c>
    </row>
    <row r="40" spans="1:9" x14ac:dyDescent="0.25">
      <c r="A40" s="151">
        <v>37</v>
      </c>
      <c r="B40" s="97">
        <f t="shared" si="6"/>
        <v>143.99999999999991</v>
      </c>
      <c r="C40" s="92">
        <f t="shared" si="6"/>
        <v>125</v>
      </c>
      <c r="D40" s="92">
        <f t="shared" si="6"/>
        <v>150.99999999999994</v>
      </c>
      <c r="E40" s="153">
        <f t="shared" si="7"/>
        <v>172.49999999999991</v>
      </c>
      <c r="F40" s="153">
        <f t="shared" si="7"/>
        <v>177.49999999999991</v>
      </c>
      <c r="G40" s="153">
        <f t="shared" si="7"/>
        <v>192.49999999999991</v>
      </c>
      <c r="H40" s="153">
        <f t="shared" si="7"/>
        <v>197.49999999999991</v>
      </c>
      <c r="I40" s="154">
        <f t="shared" si="7"/>
        <v>202.49999999999991</v>
      </c>
    </row>
    <row r="41" spans="1:9" x14ac:dyDescent="0.25">
      <c r="A41" s="151">
        <v>38</v>
      </c>
      <c r="B41" s="97">
        <f t="shared" si="6"/>
        <v>143.99999999999991</v>
      </c>
      <c r="C41" s="92">
        <f t="shared" si="6"/>
        <v>125</v>
      </c>
      <c r="D41" s="92">
        <f t="shared" si="6"/>
        <v>150.99999999999994</v>
      </c>
      <c r="E41" s="153">
        <f t="shared" si="7"/>
        <v>172.99999999999991</v>
      </c>
      <c r="F41" s="153">
        <f t="shared" si="7"/>
        <v>177.99999999999991</v>
      </c>
      <c r="G41" s="153">
        <f t="shared" si="7"/>
        <v>192.99999999999991</v>
      </c>
      <c r="H41" s="153">
        <f t="shared" si="7"/>
        <v>197.99999999999991</v>
      </c>
      <c r="I41" s="154">
        <f t="shared" si="7"/>
        <v>202.99999999999991</v>
      </c>
    </row>
    <row r="42" spans="1:9" x14ac:dyDescent="0.25">
      <c r="A42" s="151">
        <v>39</v>
      </c>
      <c r="B42" s="97">
        <f t="shared" si="6"/>
        <v>143.99999999999991</v>
      </c>
      <c r="C42" s="92">
        <f t="shared" si="6"/>
        <v>125</v>
      </c>
      <c r="D42" s="92">
        <f t="shared" si="6"/>
        <v>150.99999999999994</v>
      </c>
      <c r="E42" s="153">
        <f t="shared" si="7"/>
        <v>173.49999999999991</v>
      </c>
      <c r="F42" s="153">
        <f t="shared" si="7"/>
        <v>178.49999999999991</v>
      </c>
      <c r="G42" s="153">
        <f t="shared" si="7"/>
        <v>193.49999999999991</v>
      </c>
      <c r="H42" s="153">
        <f t="shared" si="7"/>
        <v>198.49999999999991</v>
      </c>
      <c r="I42" s="154">
        <f t="shared" si="7"/>
        <v>203.49999999999991</v>
      </c>
    </row>
    <row r="43" spans="1:9" ht="15.75" thickBot="1" x14ac:dyDescent="0.3">
      <c r="A43" s="163">
        <v>40</v>
      </c>
      <c r="B43" s="98">
        <f t="shared" si="6"/>
        <v>143.99999999999991</v>
      </c>
      <c r="C43" s="93">
        <f t="shared" si="6"/>
        <v>125</v>
      </c>
      <c r="D43" s="93">
        <f t="shared" si="6"/>
        <v>150.99999999999994</v>
      </c>
      <c r="E43" s="165">
        <f t="shared" si="7"/>
        <v>173.99999999999991</v>
      </c>
      <c r="F43" s="165">
        <f t="shared" si="7"/>
        <v>178.99999999999991</v>
      </c>
      <c r="G43" s="165">
        <f t="shared" si="7"/>
        <v>193.99999999999991</v>
      </c>
      <c r="H43" s="165">
        <f t="shared" si="7"/>
        <v>198.99999999999991</v>
      </c>
      <c r="I43" s="166">
        <f t="shared" si="7"/>
        <v>203.99999999999991</v>
      </c>
    </row>
    <row r="44" spans="1:9" x14ac:dyDescent="0.25">
      <c r="A44" s="167">
        <v>41</v>
      </c>
      <c r="B44" s="99">
        <f t="shared" si="6"/>
        <v>143.99999999999991</v>
      </c>
      <c r="C44" s="94">
        <f t="shared" si="6"/>
        <v>125</v>
      </c>
      <c r="D44" s="94">
        <f t="shared" si="6"/>
        <v>150.99999999999994</v>
      </c>
      <c r="E44" s="169">
        <f t="shared" si="7"/>
        <v>174.49999999999991</v>
      </c>
      <c r="F44" s="169">
        <f t="shared" si="7"/>
        <v>179.49999999999991</v>
      </c>
      <c r="G44" s="169">
        <f t="shared" si="7"/>
        <v>194.49999999999991</v>
      </c>
      <c r="H44" s="169">
        <f t="shared" si="7"/>
        <v>199.49999999999991</v>
      </c>
      <c r="I44" s="170">
        <f t="shared" si="7"/>
        <v>204.49999999999991</v>
      </c>
    </row>
    <row r="45" spans="1:9" x14ac:dyDescent="0.25">
      <c r="A45" s="151">
        <v>42</v>
      </c>
      <c r="B45" s="97">
        <f t="shared" si="6"/>
        <v>143.99999999999991</v>
      </c>
      <c r="C45" s="92">
        <f t="shared" si="6"/>
        <v>125</v>
      </c>
      <c r="D45" s="92">
        <f t="shared" si="6"/>
        <v>150.99999999999994</v>
      </c>
      <c r="E45" s="153">
        <f t="shared" si="7"/>
        <v>174.99999999999991</v>
      </c>
      <c r="F45" s="153">
        <f t="shared" si="7"/>
        <v>179.99999999999991</v>
      </c>
      <c r="G45" s="153">
        <f t="shared" si="7"/>
        <v>194.99999999999991</v>
      </c>
      <c r="H45" s="153">
        <f t="shared" si="7"/>
        <v>199.99999999999991</v>
      </c>
      <c r="I45" s="154">
        <f t="shared" si="7"/>
        <v>204.99999999999991</v>
      </c>
    </row>
    <row r="46" spans="1:9" x14ac:dyDescent="0.25">
      <c r="A46" s="151">
        <v>43</v>
      </c>
      <c r="B46" s="97">
        <f t="shared" si="6"/>
        <v>143.99999999999991</v>
      </c>
      <c r="C46" s="92">
        <f t="shared" si="6"/>
        <v>125</v>
      </c>
      <c r="D46" s="92">
        <f t="shared" si="6"/>
        <v>150.99999999999994</v>
      </c>
      <c r="E46" s="153">
        <f t="shared" si="7"/>
        <v>175.49999999999991</v>
      </c>
      <c r="F46" s="153">
        <f t="shared" si="7"/>
        <v>180.49999999999991</v>
      </c>
      <c r="G46" s="153">
        <f t="shared" si="7"/>
        <v>195.49999999999991</v>
      </c>
      <c r="H46" s="153">
        <f t="shared" si="7"/>
        <v>200.49999999999991</v>
      </c>
      <c r="I46" s="154">
        <f t="shared" si="7"/>
        <v>205.49999999999991</v>
      </c>
    </row>
    <row r="47" spans="1:9" x14ac:dyDescent="0.25">
      <c r="A47" s="151">
        <v>44</v>
      </c>
      <c r="B47" s="97">
        <f t="shared" ref="B47:D48" si="8">B46</f>
        <v>143.99999999999991</v>
      </c>
      <c r="C47" s="92">
        <f t="shared" si="8"/>
        <v>125</v>
      </c>
      <c r="D47" s="92">
        <f t="shared" si="8"/>
        <v>150.99999999999994</v>
      </c>
      <c r="E47" s="153">
        <f t="shared" si="7"/>
        <v>175.99999999999991</v>
      </c>
      <c r="F47" s="153">
        <f t="shared" si="7"/>
        <v>180.99999999999991</v>
      </c>
      <c r="G47" s="153">
        <f t="shared" si="7"/>
        <v>195.99999999999991</v>
      </c>
      <c r="H47" s="153">
        <f t="shared" si="7"/>
        <v>200.99999999999991</v>
      </c>
      <c r="I47" s="154">
        <f t="shared" si="7"/>
        <v>205.99999999999991</v>
      </c>
    </row>
    <row r="48" spans="1:9" ht="15.75" thickBot="1" x14ac:dyDescent="0.3">
      <c r="A48" s="163">
        <v>45</v>
      </c>
      <c r="B48" s="98">
        <f t="shared" si="8"/>
        <v>143.99999999999991</v>
      </c>
      <c r="C48" s="93">
        <f t="shared" si="8"/>
        <v>125</v>
      </c>
      <c r="D48" s="93">
        <f t="shared" si="8"/>
        <v>150.99999999999994</v>
      </c>
      <c r="E48" s="165">
        <f t="shared" si="7"/>
        <v>176.49999999999991</v>
      </c>
      <c r="F48" s="165">
        <f t="shared" si="7"/>
        <v>181.49999999999991</v>
      </c>
      <c r="G48" s="165">
        <f t="shared" si="7"/>
        <v>196.49999999999991</v>
      </c>
      <c r="H48" s="165">
        <f t="shared" si="7"/>
        <v>201.49999999999991</v>
      </c>
      <c r="I48" s="166">
        <f t="shared" si="7"/>
        <v>206.49999999999991</v>
      </c>
    </row>
  </sheetData>
  <sheetProtection algorithmName="SHA-512" hashValue="/lFT2nBFSRcu6u9WbQLV8lylGXazt2DjopzBfG6yitfGr7cNKGBgCy6vS7lFWedRxJK70UNRYl6DopA5DgiadQ==" saltValue="VX9lGYipCOXF8UmnrK6viQ==" spinCount="100000" sheet="1" objects="1" scenarios="1"/>
  <pageMargins left="0.7" right="0.7" top="0.75" bottom="0.75" header="0.3" footer="0.3"/>
  <ignoredErrors>
    <ignoredError sqref="C14:C2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Instructions &amp; Preschool Rates</vt:lpstr>
      <vt:lpstr>Base Salary Table</vt:lpstr>
      <vt:lpstr>Salary Worksheet</vt:lpstr>
      <vt:lpstr>Salary Worksheet (Print)</vt:lpstr>
      <vt:lpstr>Options</vt:lpstr>
      <vt:lpstr>Experience Modifiers</vt:lpstr>
      <vt:lpstr>AreaSalary</vt:lpstr>
      <vt:lpstr>AWW</vt:lpstr>
      <vt:lpstr>EducationClass</vt:lpstr>
      <vt:lpstr>EducationLevel</vt:lpstr>
      <vt:lpstr>EducExpGrid</vt:lpstr>
      <vt:lpstr>Enrollment</vt:lpstr>
      <vt:lpstr>'Base Salary Table'!Print_Area</vt:lpstr>
      <vt:lpstr>'Instructions &amp; Preschool Rates'!Print_Area</vt:lpstr>
      <vt:lpstr>'Salary Worksheet'!Print_Area</vt:lpstr>
      <vt:lpstr>'Salary Worksheet (Print)'!Print_Area</vt:lpstr>
      <vt:lpstr>SECA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Reske</dc:creator>
  <cp:lastModifiedBy>Paul Reske</cp:lastModifiedBy>
  <cp:lastPrinted>2023-09-07T19:45:19Z</cp:lastPrinted>
  <dcterms:created xsi:type="dcterms:W3CDTF">2019-06-10T13:38:36Z</dcterms:created>
  <dcterms:modified xsi:type="dcterms:W3CDTF">2024-08-29T19:27:35Z</dcterms:modified>
</cp:coreProperties>
</file>